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fsouza\OneDrive - SAEMAS\FEHIDRO\FEHIDRO 2025-MOGI-2 PLEITO\2-LICITAÇÃO\"/>
    </mc:Choice>
  </mc:AlternateContent>
  <xr:revisionPtr revIDLastSave="0" documentId="10_ncr:8100000_{1130CAE4-EC49-4D66-A448-F004821B1AF6}" xr6:coauthVersionLast="34" xr6:coauthVersionMax="34" xr10:uidLastSave="{00000000-0000-0000-0000-000000000000}"/>
  <bookViews>
    <workbookView xWindow="0" yWindow="0" windowWidth="16380" windowHeight="8190" tabRatio="500" xr2:uid="{00000000-000D-0000-FFFF-FFFF00000000}"/>
  </bookViews>
  <sheets>
    <sheet name="Planilha_Orçamentária" sheetId="1" r:id="rId1"/>
    <sheet name="Quantitativos-redes_" sheetId="2" r:id="rId2"/>
    <sheet name="CRONOGRAMA" sheetId="3" r:id="rId3"/>
  </sheets>
  <definedNames>
    <definedName name="Excel_BuiltIn__FilterDatabase_1" localSheetId="0">#REF!</definedName>
    <definedName name="Excel_BuiltIn_Print_Area" localSheetId="0">"""""""['file:///C:/Users/gafsouza.SAEMASSTZ/OneDrive%20-%20SAEMAS/Licita%C3%A7%C3%B5es/2)%20Obras%20e%20servi%C3%A7os%20de%20engenharia/Drenagem%20-%20Novo/Or%C3%A7amento%20Drenagem%20e%20Esgoto%20Fioravante%20Modesto.xls'#$''.$A$1:.$G$88]"""""""</definedName>
    <definedName name="Excel_BuiltIn_Print_Titles" localSheetId="0">"""""""['file:///C:/Users/gafsouza.SAEMASSTZ/OneDrive%20-%20SAEMAS/Licita%C3%A7%C3%B5es/2)%20Obras%20e%20servi%C3%A7os%20de%20engenharia/Drenagem%20-%20Novo/Or%C3%A7amento%20Drenagem%20e%20Esgoto%20Fioravante%20Modesto.xls'#$''.$A$1:.$AMJ$7]"""""""</definedName>
    <definedName name="Print_Area" localSheetId="0">Planilha_Orçamentária!$A$1:$I$35</definedName>
  </definedNames>
  <calcPr calcId="179021" fullPrecision="0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H25" i="1" l="1"/>
  <c r="H34" i="1"/>
  <c r="H33" i="1"/>
  <c r="H32" i="1"/>
  <c r="H31" i="1"/>
  <c r="H30" i="1"/>
  <c r="H29" i="1"/>
  <c r="H28" i="1"/>
  <c r="H27" i="1"/>
  <c r="H24" i="1"/>
  <c r="H23" i="1"/>
  <c r="H22" i="1"/>
  <c r="H20" i="1"/>
  <c r="H19" i="1"/>
  <c r="H18" i="1"/>
  <c r="H17" i="1"/>
  <c r="H16" i="1"/>
  <c r="H15" i="1"/>
  <c r="H14" i="1"/>
  <c r="H13" i="1"/>
  <c r="H11" i="1"/>
  <c r="H10" i="1"/>
  <c r="H9" i="1"/>
  <c r="I22" i="1" l="1"/>
  <c r="I9" i="1"/>
  <c r="B11" i="3"/>
  <c r="B10" i="3"/>
  <c r="B9" i="3"/>
  <c r="B8" i="3"/>
  <c r="A4" i="3"/>
  <c r="B3" i="3"/>
  <c r="B2" i="3"/>
  <c r="B40" i="2"/>
  <c r="C39" i="2"/>
  <c r="C40" i="2" s="1"/>
  <c r="M32" i="2"/>
  <c r="N32" i="2" s="1"/>
  <c r="M31" i="2"/>
  <c r="N31" i="2" s="1"/>
  <c r="E31" i="2"/>
  <c r="M30" i="2"/>
  <c r="N30" i="2" s="1"/>
  <c r="M29" i="2"/>
  <c r="N29" i="2" s="1"/>
  <c r="M28" i="2"/>
  <c r="I36" i="2" s="1"/>
  <c r="J18" i="2"/>
  <c r="E18" i="2"/>
  <c r="J17" i="2"/>
  <c r="M13" i="2"/>
  <c r="I13" i="2"/>
  <c r="S11" i="2"/>
  <c r="P11" i="2"/>
  <c r="N11" i="2"/>
  <c r="H11" i="2"/>
  <c r="O11" i="2" s="1"/>
  <c r="S10" i="2"/>
  <c r="P10" i="2"/>
  <c r="N10" i="2"/>
  <c r="M18" i="2" s="1"/>
  <c r="N18" i="2" s="1"/>
  <c r="H10" i="2"/>
  <c r="O10" i="2" s="1"/>
  <c r="S9" i="2"/>
  <c r="P9" i="2"/>
  <c r="O9" i="2"/>
  <c r="N9" i="2"/>
  <c r="H9" i="2"/>
  <c r="P8" i="2"/>
  <c r="N8" i="2"/>
  <c r="H8" i="2"/>
  <c r="S8" i="2" s="1"/>
  <c r="P7" i="2"/>
  <c r="P13" i="2" s="1"/>
  <c r="N7" i="2"/>
  <c r="N13" i="2" s="1"/>
  <c r="H7" i="2"/>
  <c r="O7" i="2" s="1"/>
  <c r="I34" i="1"/>
  <c r="I33" i="1"/>
  <c r="I32" i="1"/>
  <c r="I31" i="1"/>
  <c r="I30" i="1"/>
  <c r="I29" i="1"/>
  <c r="I28" i="1"/>
  <c r="I27" i="1"/>
  <c r="I25" i="1"/>
  <c r="I24" i="1"/>
  <c r="I23" i="1"/>
  <c r="I20" i="1"/>
  <c r="I19" i="1"/>
  <c r="I18" i="1"/>
  <c r="I17" i="1"/>
  <c r="I16" i="1"/>
  <c r="I15" i="1"/>
  <c r="I14" i="1"/>
  <c r="I13" i="1"/>
  <c r="I11" i="1"/>
  <c r="I10" i="1"/>
  <c r="E30" i="2" l="1"/>
  <c r="E33" i="2" s="1"/>
  <c r="M17" i="2"/>
  <c r="N17" i="2" s="1"/>
  <c r="N22" i="2" s="1"/>
  <c r="E25" i="2"/>
  <c r="S7" i="2"/>
  <c r="S13" i="2" s="1"/>
  <c r="J22" i="2"/>
  <c r="E32" i="2"/>
  <c r="I21" i="1"/>
  <c r="C10" i="3" s="1"/>
  <c r="E10" i="3" s="1"/>
  <c r="I8" i="1"/>
  <c r="C8" i="3" s="1"/>
  <c r="E16" i="2"/>
  <c r="D36" i="2"/>
  <c r="D35" i="2"/>
  <c r="I12" i="1"/>
  <c r="C9" i="3" s="1"/>
  <c r="I26" i="1"/>
  <c r="C11" i="3" s="1"/>
  <c r="G11" i="3" s="1"/>
  <c r="Q7" i="2"/>
  <c r="Q8" i="2"/>
  <c r="Q10" i="2"/>
  <c r="R10" i="2" s="1"/>
  <c r="E23" i="2" s="1"/>
  <c r="Q11" i="2"/>
  <c r="Q9" i="2"/>
  <c r="R9" i="2" s="1"/>
  <c r="E17" i="2"/>
  <c r="R11" i="2"/>
  <c r="N28" i="2"/>
  <c r="O8" i="2"/>
  <c r="R8" i="2" s="1"/>
  <c r="E19" i="2" l="1"/>
  <c r="Q13" i="2"/>
  <c r="G10" i="3"/>
  <c r="O13" i="2"/>
  <c r="E11" i="3"/>
  <c r="R7" i="2"/>
  <c r="C13" i="3"/>
  <c r="G8" i="3"/>
  <c r="E8" i="3"/>
  <c r="I35" i="1"/>
  <c r="G9" i="3"/>
  <c r="E9" i="3"/>
  <c r="G12" i="3" l="1"/>
  <c r="F12" i="3" s="1"/>
  <c r="E12" i="3"/>
  <c r="E24" i="2"/>
  <c r="E26" i="2" s="1"/>
  <c r="R13" i="2"/>
  <c r="E13" i="3" l="1"/>
  <c r="G13" i="3" s="1"/>
  <c r="D12" i="3"/>
  <c r="D13" i="3" s="1"/>
  <c r="F13" i="3" s="1"/>
</calcChain>
</file>

<file path=xl/sharedStrings.xml><?xml version="1.0" encoding="utf-8"?>
<sst xmlns="http://schemas.openxmlformats.org/spreadsheetml/2006/main" count="280" uniqueCount="186">
  <si>
    <t>Cliente:</t>
  </si>
  <si>
    <t>SERVIÇO AUTÔNOMO DE ÁGUA, ESGOTO E MEIO AMBIENTE DE SERTÃOZINHO - SAEMAS</t>
  </si>
  <si>
    <t>Objeto:</t>
  </si>
  <si>
    <t>REDES COLETORAS DE ESGOTO</t>
  </si>
  <si>
    <t>Local:</t>
  </si>
  <si>
    <t>RUAS JOSÉ BONINI E OLIDAIR AMBRÓSIO</t>
  </si>
  <si>
    <t>Fontes</t>
  </si>
  <si>
    <t>SINAPI  (dezembro / 2025) - com desoneração</t>
  </si>
  <si>
    <t>BDI Serviço:</t>
  </si>
  <si>
    <t>BDI Materiais</t>
  </si>
  <si>
    <t>P L A N I L H A   D E   Q U A N T I D A D E S   E   P R E Ç O S</t>
  </si>
  <si>
    <t>INTERCEPTOR SANTA MARIA</t>
  </si>
  <si>
    <t>Item</t>
  </si>
  <si>
    <t>Discriminação dos Serviços</t>
  </si>
  <si>
    <t>FONTE</t>
  </si>
  <si>
    <t>CÓDIGO</t>
  </si>
  <si>
    <t>Un.</t>
  </si>
  <si>
    <t>Quant. Licitada</t>
  </si>
  <si>
    <t>Preço
Unitário</t>
  </si>
  <si>
    <t>Preço
Unitário+BDI</t>
  </si>
  <si>
    <t>Preço
Total</t>
  </si>
  <si>
    <t>1</t>
  </si>
  <si>
    <t>SERVIÇOS PRELIMINARES ESGOTO</t>
  </si>
  <si>
    <t>1.1</t>
  </si>
  <si>
    <t>LOCAÇÃO DE REDE DE ESGOTO</t>
  </si>
  <si>
    <t>SINAPI</t>
  </si>
  <si>
    <t>m</t>
  </si>
  <si>
    <t>1.2</t>
  </si>
  <si>
    <t>CAMINHÃO PIPA 10.000 L TRUCADO, PESO BRUTO TOTAL 23.000 KG, CARGA ÚTIL MÁXIMA 15.935 KG, DISTÂNCIA ENTRE EIXOS 4,8 M, POTÊNCIA 230 CV, INCLUSIVE TANQUE DE AÇO PARA TRANSPORTE DE ÁGUA - CHP DIURNO. AF_06/2014</t>
  </si>
  <si>
    <t>h</t>
  </si>
  <si>
    <t>1.3</t>
  </si>
  <si>
    <t>PLACA DE OBRA (PARA CONSTRUCAO CIVIL) EM CHAPA GALVANIZADA *N. 22*, ADESIVADA</t>
  </si>
  <si>
    <t>m²</t>
  </si>
  <si>
    <t>2</t>
  </si>
  <si>
    <t>MOVIMENTO DE TERRA</t>
  </si>
  <si>
    <t>2.1</t>
  </si>
  <si>
    <t>ESCAVAÇÃO MECANIZADA DE VALA COM PROF. ATÉ 1,5 M (MÉDIA MONTANTE E JUSANTE/UMA COMPOSIÇÃO POR TRECHO), ESCAVADEIRA (0,8 M3), LARG. MENOR QUE 1,5 M, EM SOLO DE 1A CATEGORIA, EM LOCAIS COM ALTO NÍVEL DE INTERFERÊNCIA. AF_09/2024</t>
  </si>
  <si>
    <t>m3</t>
  </si>
  <si>
    <t>2.2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</si>
  <si>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</si>
  <si>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m³</t>
  </si>
  <si>
    <t>2.3</t>
  </si>
  <si>
    <t xml:space="preserve">ESCORAMENTO DE VALA, TIPO DESCONTÍNUO, COM PROFUNDIDADE DE 1,5 A 3,0 M, LARGURA MAIOR OU IGUAL A 1,5 M E MENOR QUE 2,5 M. AF_08/2020 </t>
  </si>
  <si>
    <t>m2</t>
  </si>
  <si>
    <t>2.4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</si>
  <si>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</si>
  <si>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93368-SINAPI</t>
  </si>
  <si>
    <t>2.5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</si>
  <si>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</si>
  <si>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2.6</t>
  </si>
  <si>
    <t>CARGA, MANOBRA E DESCARGA DE SOLOS E MATERIAIS GRANULARES EM CAMINHÃO BASCULANTE 6 M³ - CARGA COM PÁ CARREGADEIRA (CAÇAMBA DE 1,7 A 2,8 M³ / 128 HP) E DESCARGA LIVRE (UNIDADE: M3). AF_07/2020</t>
  </si>
  <si>
    <t>100973-SINAPI</t>
  </si>
  <si>
    <t>2.7</t>
  </si>
  <si>
    <t>TRANSPORTE COM CAMINHÃO BASCULANTE DE 6 M³, EM VIA URBANA PAVIMENTADA, DMT ATÉ 30 KM (UNIDADE: M3XKM). AF_07/2020</t>
  </si>
  <si>
    <t>97914-SINAPI</t>
  </si>
  <si>
    <t>m3xKm</t>
  </si>
  <si>
    <t>2.8</t>
  </si>
  <si>
    <t>DEPOSIÇÃO DE ENTULHO P/ RCC CADASTRADO NA CIDADE</t>
  </si>
  <si>
    <t>Orçamento</t>
  </si>
  <si>
    <t>ton.</t>
  </si>
  <si>
    <t>3</t>
  </si>
  <si>
    <t>TUBULAÇÕES E ESTRUTURAS</t>
  </si>
  <si>
    <t>3.1</t>
  </si>
  <si>
    <t>TUBO DE PVC CORRUGADO DE DUPLA PAREDE PARA REDE COLETORA DE ESGOTO, DN 250 MM, JUNTA ELÁSTICA FORNECIMENTO E ASSENTAMENTO. AF_01/2021</t>
  </si>
  <si>
    <t>3.2</t>
  </si>
  <si>
    <t>BASE PARA POÇO DE VISITA CIRCULAR PARA ESGOTO, EM CONCRETO PRÉ-MOLDADO, DIÂMETRO INTERNO = 0,80 M, PROFUNDIDADE = 1,35 M, EXCLUINDO TAMPÃO.AF_12/2020_PA</t>
  </si>
  <si>
    <t>97978-SINAPI</t>
  </si>
  <si>
    <t>un.</t>
  </si>
  <si>
    <t>3.3</t>
  </si>
  <si>
    <t>CHAMINÉ CIRCULAR PARA POÇO DE VISITA PARA ESGOTO, EM CONCRETO PRÉ-MOLDADO, DIÂMETRO INTERNO = 0,6 M. AF_12/2020</t>
  </si>
  <si>
    <t>98050-SINAPI</t>
  </si>
  <si>
    <t>3.4</t>
  </si>
  <si>
    <t>TAMPAO FOFO SIMPLES COM BASE, CLASSE D400 CARGA MAX 40 T, REDONDO TAMPA 600 MM, REDE PLUVIAL/ESGOTO</t>
  </si>
  <si>
    <t>6240-SINAPI</t>
  </si>
  <si>
    <t>4</t>
  </si>
  <si>
    <t>RECOMPOSIÇÃO ASFÁLTICA</t>
  </si>
  <si>
    <t>4.1</t>
  </si>
  <si>
    <t>DEMOLIÇÃO PARCIAL DE PAVIMENTO ASFÁLTICO, DE FORMA MECANIZADA, SEM REAPROVEITAMENTO. AF_12/2017</t>
  </si>
  <si>
    <t>97636-SINAPI</t>
  </si>
  <si>
    <t>4.2</t>
  </si>
  <si>
    <t>4.3</t>
  </si>
  <si>
    <t>4.4</t>
  </si>
  <si>
    <t>4.5</t>
  </si>
  <si>
    <t>EXECUÇÃO E COMPACTAÇÃO DE BASE E OU SUB BASE PARA PAVIMENTAÇÃO DE BRITA GRADUADA SIMPLES - EXCLUSIVE CARGA E TRANSPORTE. AF_11/2019</t>
  </si>
  <si>
    <t>96396-SINAPI</t>
  </si>
  <si>
    <t>4.6</t>
  </si>
  <si>
    <t>EXECUÇÃO DE PAVIMENTO COM APLICAÇÃO DE CONCRETO ASFÁLTICO, CAMADA DE ROLAMENTO - EXCLUSIVE CARGA E TRANSPORTE. AF_11/2019</t>
  </si>
  <si>
    <t>95995-SINAPI</t>
  </si>
  <si>
    <t>4.7</t>
  </si>
  <si>
    <t>TRANSPORTE COM CAMINHÃO TANQUE DE TRANSPORTE DE MATERIAL ASFÁLTICO DE 20000 L, EM VIA URBANA PAVIMENTADA, DMT ATÉ 30KM (UNIDADE: TXKM). AF_07/2020</t>
  </si>
  <si>
    <t>102332-SINAPI</t>
  </si>
  <si>
    <t>TxKm</t>
  </si>
  <si>
    <t>4.8</t>
  </si>
  <si>
    <t>TRANSPORTE COM CAMINHÃO TANQUE DE TRANSPORTE DE MATERIAL ASFÁLTICO DE 20000 L, EM VIA URBANA PAVIMENTADA, ADICIONAL PARA DMT EXCEDENTE A 30 KM (UNIDADE: TXKM). AF_07/2020</t>
  </si>
  <si>
    <t>102333-SINAPI</t>
  </si>
  <si>
    <t>TOTAL OBRA</t>
  </si>
  <si>
    <t>CÁLCULO QUANTITATIVOS – REDES COLETORAS DE ESGOTO</t>
  </si>
  <si>
    <t>Volume Escavação</t>
  </si>
  <si>
    <t>Volumes bota fora</t>
  </si>
  <si>
    <t>Volume Aterro (escavado-tubulação)</t>
  </si>
  <si>
    <t>Escoramento Vala</t>
  </si>
  <si>
    <t>Trecho</t>
  </si>
  <si>
    <t>Rua</t>
  </si>
  <si>
    <t>Início</t>
  </si>
  <si>
    <t>Profundidades</t>
  </si>
  <si>
    <t>Profundidade Média</t>
  </si>
  <si>
    <t>Distância</t>
  </si>
  <si>
    <t>Diâ.Tubulação</t>
  </si>
  <si>
    <t>Classe</t>
  </si>
  <si>
    <t>Largura Vala</t>
  </si>
  <si>
    <t>Extensão Asfalto</t>
  </si>
  <si>
    <t>Área Asfalto</t>
  </si>
  <si>
    <t>Volume camada pav.demolido</t>
  </si>
  <si>
    <t>Volume tubulação</t>
  </si>
  <si>
    <t>Montante</t>
  </si>
  <si>
    <t>Jusante</t>
  </si>
  <si>
    <t>Justante</t>
  </si>
  <si>
    <t>mm</t>
  </si>
  <si>
    <t>1-1</t>
  </si>
  <si>
    <t>José Bonini</t>
  </si>
  <si>
    <t>PVE</t>
  </si>
  <si>
    <t>PV1</t>
  </si>
  <si>
    <t>PVC OCRE</t>
  </si>
  <si>
    <t>1-2</t>
  </si>
  <si>
    <t>PV2</t>
  </si>
  <si>
    <t>1-3</t>
  </si>
  <si>
    <t>PV3</t>
  </si>
  <si>
    <t>2-1</t>
  </si>
  <si>
    <t>Olidair Ambrósio</t>
  </si>
  <si>
    <t>PV4</t>
  </si>
  <si>
    <t>2-2</t>
  </si>
  <si>
    <t>PV5</t>
  </si>
  <si>
    <t>TOTAIS</t>
  </si>
  <si>
    <t>Escavação de vala (m³)</t>
  </si>
  <si>
    <t>Volume</t>
  </si>
  <si>
    <t>Detalhamento Extensões Assentamento</t>
  </si>
  <si>
    <t>Detalhamanto Recomposição Asfáltica</t>
  </si>
  <si>
    <t>Até 1,5 m</t>
  </si>
  <si>
    <t>Diâmetro</t>
  </si>
  <si>
    <t>Extensão – m</t>
  </si>
  <si>
    <t>Área-m²</t>
  </si>
  <si>
    <t>Volume (m³)</t>
  </si>
  <si>
    <t>De 1,5 a 3,0m</t>
  </si>
  <si>
    <t>200 mm</t>
  </si>
  <si>
    <t>Acima de 3,0m</t>
  </si>
  <si>
    <t>Dr.Olidair Ambrósio</t>
  </si>
  <si>
    <t>Total</t>
  </si>
  <si>
    <t>Reaterro de vala (m³)</t>
  </si>
  <si>
    <t>Calculo dos Quantitativos Poços de Visita</t>
  </si>
  <si>
    <t>Dados Projeto</t>
  </si>
  <si>
    <t>Considerando tabela Sinapi</t>
  </si>
  <si>
    <t>Pvs</t>
  </si>
  <si>
    <t>Diâmetro rede</t>
  </si>
  <si>
    <t>Profundidade</t>
  </si>
  <si>
    <t>Base PV (até 1,35 m)</t>
  </si>
  <si>
    <t>Chaminé (até 1,0m)</t>
  </si>
  <si>
    <t>Acréscimo base</t>
  </si>
  <si>
    <t>Escoramento vala (m²)</t>
  </si>
  <si>
    <t>Área</t>
  </si>
  <si>
    <t>Até 3,0m</t>
  </si>
  <si>
    <t>De 3 a 4,5m</t>
  </si>
  <si>
    <t>Acima de 4,5m</t>
  </si>
  <si>
    <t>Reposição Pavimento (m³)</t>
  </si>
  <si>
    <t>Resumo dos Quantitativos PVs</t>
  </si>
  <si>
    <t>Base (esp.0,15m)</t>
  </si>
  <si>
    <t>Base PV</t>
  </si>
  <si>
    <t>unidades</t>
  </si>
  <si>
    <t>Capa (0,05)</t>
  </si>
  <si>
    <t>Chaminé</t>
  </si>
  <si>
    <t>metros</t>
  </si>
  <si>
    <t>Tampões</t>
  </si>
  <si>
    <t>peças</t>
  </si>
  <si>
    <t>Tubulação</t>
  </si>
  <si>
    <t>Diâmetro externo</t>
  </si>
  <si>
    <t>Área Seção</t>
  </si>
  <si>
    <t xml:space="preserve">                                                            </t>
  </si>
  <si>
    <t>C R O N O G R A M A   F Í S I C O   -   F I N A N C E I R O</t>
  </si>
  <si>
    <t>Descrição</t>
  </si>
  <si>
    <t>Preço</t>
  </si>
  <si>
    <t>01º MÊS</t>
  </si>
  <si>
    <t>02º MÊS</t>
  </si>
  <si>
    <t>%</t>
  </si>
  <si>
    <t>Total Mensal</t>
  </si>
  <si>
    <t>Total Acumulado</t>
  </si>
  <si>
    <t>ENG. ALEX FABIAN CARDIN DE SOUSA</t>
  </si>
  <si>
    <t>CREA nº 5060900434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</si>
</sst>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 R$ &quot;#,##0.00\ ;&quot;-R$ &quot;#,##0.00\ ;&quot; R$ -&quot;00\ ;@\ "/>
    <numFmt numFmtId="165" formatCode="#,##0.00\ ;&quot; (&quot;#,##0.00\);\-00\ ;@\ "/>
    <numFmt numFmtId="166" formatCode="#,##0.00\ ;\-#,##0.00\ ;\-#\ ;@\ "/>
    <numFmt numFmtId="167" formatCode="#,##0.00\ ;&quot; (&quot;#,##0.00\);\-#\ ;@\ "/>
    <numFmt numFmtId="168" formatCode="0.000"/>
    <numFmt numFmtId="169" formatCode="0.0000"/>
  </numFmts>
  <fonts count="31">
    <font>
      <sz val="11"/>
      <color rgb="FF000000"/>
      <name val="Calibri"/>
      <family val="2"/>
      <charset val="1"/>
    </font>
    <font>
      <sz val="11"/>
      <color rgb="FF000000"/>
      <name val="Arial2"/>
      <charset val="1"/>
    </font>
    <font>
      <sz val="11"/>
      <color rgb="FF000000"/>
      <name val="Times New Roman"/>
      <family val="1"/>
      <charset val="1"/>
    </font>
    <font>
      <b/>
      <i/>
      <u/>
      <sz val="11"/>
      <color rgb="FF000000"/>
      <name val="Liberation Sans1"/>
      <charset val="1"/>
    </font>
    <font>
      <b/>
      <sz val="24"/>
      <color rgb="FF000000"/>
      <name val="Liberation Sans1"/>
      <charset val="1"/>
    </font>
    <font>
      <sz val="8"/>
      <color rgb="FF000000"/>
      <name val="Arial1"/>
      <charset val="1"/>
    </font>
    <font>
      <sz val="11"/>
      <color rgb="FF000000"/>
      <name val="Liberation Sans1"/>
      <charset val="1"/>
    </font>
    <font>
      <sz val="10"/>
      <color rgb="FF000000"/>
      <name val="Arial1"/>
      <charset val="1"/>
    </font>
    <font>
      <b/>
      <sz val="10"/>
      <color rgb="FF000000"/>
      <name val="Arial1"/>
      <charset val="1"/>
    </font>
    <font>
      <b/>
      <u/>
      <sz val="12"/>
      <color rgb="FF000000"/>
      <name val="Arial1"/>
      <charset val="1"/>
    </font>
    <font>
      <b/>
      <sz val="14"/>
      <color rgb="FFF6F9D4"/>
      <name val="Arial1"/>
      <charset val="1"/>
    </font>
    <font>
      <b/>
      <u/>
      <sz val="10"/>
      <color rgb="FF000000"/>
      <name val="Arial1"/>
      <charset val="1"/>
    </font>
    <font>
      <u/>
      <sz val="8"/>
      <color rgb="FF000000"/>
      <name val="Arial1"/>
      <charset val="1"/>
    </font>
    <font>
      <u/>
      <sz val="11"/>
      <color rgb="FF000000"/>
      <name val="Liberation Sans1"/>
      <charset val="1"/>
    </font>
    <font>
      <sz val="11"/>
      <color rgb="FF000000"/>
      <name val="Arial1"/>
      <charset val="1"/>
    </font>
    <font>
      <sz val="10"/>
      <color rgb="FF000000"/>
      <name val="Arial"/>
      <family val="2"/>
      <charset val="1"/>
    </font>
    <font>
      <sz val="10"/>
      <color rgb="FF000000"/>
      <name val="Arial"/>
      <charset val="1"/>
    </font>
    <font>
      <u/>
      <sz val="11"/>
      <color rgb="FF000000"/>
      <name val="Arial1"/>
      <charset val="1"/>
    </font>
    <font>
      <u/>
      <sz val="10"/>
      <color rgb="FF000000"/>
      <name val="Arial1"/>
      <charset val="1"/>
    </font>
    <font>
      <b/>
      <sz val="14"/>
      <color rgb="FF000000"/>
      <name val="Arial1"/>
      <charset val="1"/>
    </font>
    <font>
      <b/>
      <sz val="12"/>
      <color rgb="FF000000"/>
      <name val="Liberation Sans1"/>
      <charset val="1"/>
    </font>
    <font>
      <b/>
      <i/>
      <sz val="12"/>
      <color rgb="FF000000"/>
      <name val="Liberation Sans1"/>
      <charset val="1"/>
    </font>
    <font>
      <b/>
      <sz val="11"/>
      <color rgb="FF000000"/>
      <name val="Liberation Sans1"/>
      <charset val="1"/>
    </font>
    <font>
      <b/>
      <i/>
      <sz val="11"/>
      <color rgb="FF000000"/>
      <name val="Liberation Sans1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Arial3"/>
      <charset val="1"/>
    </font>
    <font>
      <b/>
      <sz val="11"/>
      <color rgb="FF000000"/>
      <name val="Arial3"/>
      <charset val="1"/>
    </font>
    <font>
      <sz val="10"/>
      <color rgb="FF000000"/>
      <name val="Arial3"/>
      <charset val="1"/>
    </font>
    <font>
      <b/>
      <sz val="10"/>
      <color rgb="FF000000"/>
      <name val="Arial3"/>
      <charset val="1"/>
    </font>
    <font>
      <b/>
      <sz val="12"/>
      <color rgb="FF000000"/>
      <name val="Arial3"/>
      <charset val="1"/>
    </font>
    <font>
      <sz val="8"/>
      <color rgb="FF000000"/>
      <name val="Arial3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6F9D4"/>
      </patternFill>
    </fill>
    <fill>
      <patternFill patternType="solid">
        <fgColor rgb="FF333333"/>
        <bgColor rgb="FF333300"/>
      </patternFill>
    </fill>
    <fill>
      <patternFill patternType="solid">
        <fgColor rgb="FFFF9900"/>
        <bgColor rgb="FFFFCC00"/>
      </patternFill>
    </fill>
    <fill>
      <patternFill patternType="solid">
        <fgColor rgb="FF33FF99"/>
        <bgColor rgb="FF00FFFF"/>
      </patternFill>
    </fill>
    <fill>
      <patternFill patternType="solid">
        <fgColor rgb="FFFFCC99"/>
        <bgColor rgb="FFC0C0C0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4">
    <xf numFmtId="0" fontId="0" fillId="0" borderId="0"/>
    <xf numFmtId="167" fontId="1" fillId="0" borderId="0" applyBorder="0" applyProtection="0"/>
    <xf numFmtId="0" fontId="1" fillId="0" borderId="0" applyBorder="0" applyProtection="0"/>
    <xf numFmtId="0" fontId="1" fillId="0" borderId="0" applyBorder="0" applyProtection="0"/>
    <xf numFmtId="0" fontId="1" fillId="0" borderId="0" applyBorder="0" applyProtection="0"/>
    <xf numFmtId="0" fontId="1" fillId="0" borderId="0" applyBorder="0" applyProtection="0"/>
    <xf numFmtId="0" fontId="2" fillId="0" borderId="0" applyBorder="0" applyProtection="0"/>
    <xf numFmtId="0" fontId="1" fillId="0" borderId="0" applyBorder="0" applyProtection="0"/>
    <xf numFmtId="0" fontId="1" fillId="0" borderId="0" applyBorder="0" applyProtection="0"/>
    <xf numFmtId="0" fontId="3" fillId="0" borderId="0" applyBorder="0" applyProtection="0"/>
    <xf numFmtId="164" fontId="1" fillId="0" borderId="0" applyBorder="0" applyProtection="0"/>
    <xf numFmtId="0" fontId="4" fillId="0" borderId="0" applyBorder="0" applyProtection="0"/>
    <xf numFmtId="165" fontId="1" fillId="0" borderId="0" applyBorder="0" applyProtection="0"/>
    <xf numFmtId="166" fontId="1" fillId="0" borderId="0" applyBorder="0" applyProtection="0"/>
  </cellStyleXfs>
  <cellXfs count="136">
    <xf numFmtId="0" fontId="0" fillId="0" borderId="0" xfId="0"/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10" fontId="8" fillId="0" borderId="1" xfId="0" applyNumberFormat="1" applyFont="1" applyBorder="1" applyAlignment="1">
      <alignment vertical="center"/>
    </xf>
    <xf numFmtId="4" fontId="5" fillId="0" borderId="0" xfId="7" applyNumberFormat="1" applyFont="1" applyBorder="1" applyAlignment="1" applyProtection="1">
      <alignment vertical="center" wrapText="1"/>
    </xf>
    <xf numFmtId="49" fontId="7" fillId="4" borderId="1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vertical="center" wrapText="1"/>
    </xf>
    <xf numFmtId="4" fontId="11" fillId="5" borderId="1" xfId="6" applyNumberFormat="1" applyFont="1" applyFill="1" applyBorder="1" applyAlignment="1" applyProtection="1">
      <alignment horizontal="right" vertical="center" wrapText="1"/>
    </xf>
    <xf numFmtId="0" fontId="12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4" fillId="0" borderId="1" xfId="1" applyNumberFormat="1" applyFont="1" applyBorder="1" applyAlignment="1" applyProtection="1">
      <alignment horizontal="right" vertical="center" wrapText="1"/>
    </xf>
    <xf numFmtId="4" fontId="7" fillId="0" borderId="1" xfId="6" applyNumberFormat="1" applyFont="1" applyBorder="1" applyAlignment="1" applyProtection="1">
      <alignment horizontal="right" vertical="center" wrapText="1"/>
    </xf>
    <xf numFmtId="0" fontId="15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49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vertical="center" wrapText="1"/>
    </xf>
    <xf numFmtId="4" fontId="8" fillId="5" borderId="1" xfId="6" applyNumberFormat="1" applyFont="1" applyFill="1" applyBorder="1" applyAlignment="1" applyProtection="1">
      <alignment horizontal="right" vertical="center" wrapText="1"/>
    </xf>
    <xf numFmtId="0" fontId="16" fillId="0" borderId="0" xfId="0" applyFont="1" applyAlignment="1">
      <alignment horizontal="justify"/>
    </xf>
    <xf numFmtId="4" fontId="17" fillId="0" borderId="1" xfId="1" applyNumberFormat="1" applyFont="1" applyBorder="1" applyAlignment="1" applyProtection="1">
      <alignment horizontal="right" vertical="center" wrapText="1"/>
    </xf>
    <xf numFmtId="0" fontId="7" fillId="0" borderId="1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4" fontId="18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horizontal="right" vertical="center"/>
    </xf>
    <xf numFmtId="4" fontId="8" fillId="5" borderId="1" xfId="0" applyNumberFormat="1" applyFont="1" applyFill="1" applyBorder="1" applyAlignment="1">
      <alignment horizontal="right" vertical="center" wrapText="1"/>
    </xf>
    <xf numFmtId="49" fontId="7" fillId="0" borderId="1" xfId="0" applyNumberFormat="1" applyFont="1" applyBorder="1" applyAlignment="1">
      <alignment horizontal="center" vertical="center"/>
    </xf>
    <xf numFmtId="0" fontId="14" fillId="0" borderId="1" xfId="8" applyFont="1" applyBorder="1" applyAlignment="1" applyProtection="1">
      <alignment horizontal="left" vertical="center" wrapText="1"/>
    </xf>
    <xf numFmtId="0" fontId="14" fillId="0" borderId="1" xfId="8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14" fillId="0" borderId="1" xfId="1" applyNumberFormat="1" applyFont="1" applyBorder="1" applyAlignment="1" applyProtection="1">
      <alignment horizontal="right" vertical="center"/>
    </xf>
    <xf numFmtId="0" fontId="5" fillId="2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4" fontId="19" fillId="4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/>
    <xf numFmtId="0" fontId="21" fillId="0" borderId="0" xfId="0" applyFont="1" applyAlignment="1">
      <alignment horizontal="left"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2" fontId="23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4" fontId="22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vertical="center" wrapText="1"/>
    </xf>
    <xf numFmtId="2" fontId="22" fillId="0" borderId="0" xfId="0" applyNumberFormat="1" applyFont="1" applyAlignment="1">
      <alignment horizontal="center"/>
    </xf>
    <xf numFmtId="0" fontId="24" fillId="0" borderId="3" xfId="0" applyFont="1" applyBorder="1" applyAlignment="1">
      <alignment horizontal="center"/>
    </xf>
    <xf numFmtId="0" fontId="22" fillId="0" borderId="0" xfId="0" applyFont="1" applyAlignment="1">
      <alignment vertical="center"/>
    </xf>
    <xf numFmtId="168" fontId="6" fillId="0" borderId="0" xfId="0" applyNumberFormat="1" applyFont="1" applyAlignment="1">
      <alignment horizontal="center"/>
    </xf>
    <xf numFmtId="0" fontId="6" fillId="0" borderId="1" xfId="0" applyFont="1" applyBorder="1" applyAlignment="1"/>
    <xf numFmtId="4" fontId="6" fillId="0" borderId="1" xfId="0" applyNumberFormat="1" applyFont="1" applyBorder="1" applyAlignment="1">
      <alignment horizontal="center"/>
    </xf>
    <xf numFmtId="2" fontId="6" fillId="0" borderId="0" xfId="0" applyNumberFormat="1" applyFont="1" applyAlignment="1">
      <alignment horizontal="left"/>
    </xf>
    <xf numFmtId="4" fontId="6" fillId="0" borderId="0" xfId="0" applyNumberFormat="1" applyFont="1" applyAlignment="1">
      <alignment horizontal="center"/>
    </xf>
    <xf numFmtId="0" fontId="22" fillId="0" borderId="0" xfId="0" applyFont="1" applyAlignment="1">
      <alignment horizontal="center" vertical="top"/>
    </xf>
    <xf numFmtId="2" fontId="22" fillId="0" borderId="0" xfId="0" applyNumberFormat="1" applyFont="1" applyAlignment="1">
      <alignment horizontal="center" wrapText="1"/>
    </xf>
    <xf numFmtId="168" fontId="22" fillId="0" borderId="0" xfId="0" applyNumberFormat="1" applyFont="1" applyAlignment="1">
      <alignment horizontal="center" wrapText="1"/>
    </xf>
    <xf numFmtId="169" fontId="6" fillId="0" borderId="0" xfId="0" applyNumberFormat="1" applyFont="1" applyAlignment="1">
      <alignment horizontal="center"/>
    </xf>
    <xf numFmtId="0" fontId="22" fillId="0" borderId="0" xfId="0" applyFont="1" applyAlignment="1"/>
    <xf numFmtId="0" fontId="25" fillId="0" borderId="5" xfId="0" applyFont="1" applyBorder="1" applyAlignment="1">
      <alignment vertical="center"/>
    </xf>
    <xf numFmtId="0" fontId="26" fillId="0" borderId="0" xfId="0" applyFont="1" applyAlignment="1">
      <alignment vertical="center"/>
    </xf>
    <xf numFmtId="4" fontId="27" fillId="0" borderId="2" xfId="0" applyNumberFormat="1" applyFont="1" applyBorder="1" applyAlignment="1">
      <alignment vertical="center"/>
    </xf>
    <xf numFmtId="4" fontId="27" fillId="0" borderId="2" xfId="0" applyNumberFormat="1" applyFont="1" applyBorder="1" applyAlignment="1">
      <alignment horizontal="right" vertical="center"/>
    </xf>
    <xf numFmtId="49" fontId="28" fillId="0" borderId="2" xfId="0" applyNumberFormat="1" applyFont="1" applyBorder="1" applyAlignment="1">
      <alignment horizontal="left" vertical="center"/>
    </xf>
    <xf numFmtId="0" fontId="25" fillId="0" borderId="6" xfId="0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0" fontId="25" fillId="0" borderId="7" xfId="0" applyFont="1" applyBorder="1" applyAlignment="1">
      <alignment vertical="center"/>
    </xf>
    <xf numFmtId="0" fontId="26" fillId="0" borderId="4" xfId="0" applyFont="1" applyBorder="1" applyAlignment="1">
      <alignment vertical="center"/>
    </xf>
    <xf numFmtId="4" fontId="27" fillId="0" borderId="4" xfId="0" applyNumberFormat="1" applyFont="1" applyBorder="1" applyAlignment="1">
      <alignment vertical="center"/>
    </xf>
    <xf numFmtId="4" fontId="25" fillId="6" borderId="1" xfId="1" applyNumberFormat="1" applyFont="1" applyFill="1" applyBorder="1" applyAlignment="1" applyProtection="1">
      <alignment horizontal="center" vertical="center"/>
    </xf>
    <xf numFmtId="0" fontId="27" fillId="6" borderId="1" xfId="0" applyFont="1" applyFill="1" applyBorder="1" applyAlignment="1">
      <alignment horizontal="center" vertical="center"/>
    </xf>
    <xf numFmtId="49" fontId="25" fillId="0" borderId="1" xfId="1" applyNumberFormat="1" applyFont="1" applyBorder="1" applyAlignment="1" applyProtection="1">
      <alignment horizontal="center" vertical="center"/>
    </xf>
    <xf numFmtId="2" fontId="25" fillId="0" borderId="1" xfId="1" applyNumberFormat="1" applyFont="1" applyBorder="1" applyAlignment="1" applyProtection="1">
      <alignment horizontal="left" vertical="center"/>
    </xf>
    <xf numFmtId="4" fontId="25" fillId="0" borderId="1" xfId="1" applyNumberFormat="1" applyFont="1" applyBorder="1" applyAlignment="1" applyProtection="1">
      <alignment horizontal="right" vertical="center"/>
    </xf>
    <xf numFmtId="4" fontId="25" fillId="0" borderId="1" xfId="1" applyNumberFormat="1" applyFont="1" applyBorder="1" applyAlignment="1" applyProtection="1">
      <alignment vertical="center"/>
    </xf>
    <xf numFmtId="4" fontId="6" fillId="0" borderId="0" xfId="0" applyNumberFormat="1" applyFont="1" applyAlignment="1"/>
    <xf numFmtId="0" fontId="27" fillId="0" borderId="1" xfId="0" applyFont="1" applyBorder="1" applyAlignment="1">
      <alignment horizontal="left" vertical="center" wrapText="1"/>
    </xf>
    <xf numFmtId="4" fontId="27" fillId="0" borderId="1" xfId="6" applyNumberFormat="1" applyFont="1" applyBorder="1" applyAlignment="1" applyProtection="1">
      <alignment horizontal="right" vertical="center"/>
    </xf>
    <xf numFmtId="0" fontId="28" fillId="6" borderId="1" xfId="0" applyFont="1" applyFill="1" applyBorder="1" applyAlignment="1">
      <alignment vertical="center"/>
    </xf>
    <xf numFmtId="4" fontId="25" fillId="6" borderId="1" xfId="1" applyNumberFormat="1" applyFont="1" applyFill="1" applyBorder="1" applyAlignment="1" applyProtection="1">
      <alignment vertical="center"/>
    </xf>
    <xf numFmtId="4" fontId="27" fillId="6" borderId="1" xfId="0" applyNumberFormat="1" applyFont="1" applyFill="1" applyBorder="1" applyAlignment="1">
      <alignment vertical="center"/>
    </xf>
    <xf numFmtId="4" fontId="26" fillId="6" borderId="1" xfId="1" applyNumberFormat="1" applyFont="1" applyFill="1" applyBorder="1" applyAlignment="1" applyProtection="1">
      <alignment vertical="center"/>
    </xf>
    <xf numFmtId="49" fontId="30" fillId="0" borderId="0" xfId="0" applyNumberFormat="1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49" fontId="9" fillId="0" borderId="1" xfId="7" applyNumberFormat="1" applyFont="1" applyBorder="1" applyAlignment="1" applyProtection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4" fontId="19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0" fillId="2" borderId="1" xfId="0" applyFill="1" applyBorder="1"/>
    <xf numFmtId="0" fontId="8" fillId="0" borderId="1" xfId="0" applyFont="1" applyBorder="1" applyAlignment="1">
      <alignment horizontal="left" vertical="center" wrapText="1"/>
    </xf>
    <xf numFmtId="10" fontId="8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0" fillId="0" borderId="2" xfId="0" applyBorder="1"/>
    <xf numFmtId="0" fontId="20" fillId="0" borderId="0" xfId="0" applyFont="1" applyBorder="1" applyAlignment="1">
      <alignment horizontal="center" vertical="center"/>
    </xf>
    <xf numFmtId="0" fontId="25" fillId="0" borderId="7" xfId="0" applyFont="1" applyBorder="1" applyAlignment="1">
      <alignment horizontal="left" vertical="center" wrapText="1"/>
    </xf>
    <xf numFmtId="49" fontId="29" fillId="0" borderId="8" xfId="7" applyNumberFormat="1" applyFont="1" applyBorder="1" applyAlignment="1" applyProtection="1">
      <alignment horizontal="center" vertical="center"/>
    </xf>
    <xf numFmtId="49" fontId="25" fillId="6" borderId="1" xfId="1" applyNumberFormat="1" applyFont="1" applyFill="1" applyBorder="1" applyAlignment="1" applyProtection="1">
      <alignment horizontal="center" vertical="center"/>
    </xf>
    <xf numFmtId="4" fontId="25" fillId="6" borderId="1" xfId="1" applyNumberFormat="1" applyFont="1" applyFill="1" applyBorder="1" applyAlignment="1" applyProtection="1">
      <alignment horizontal="center" vertical="center"/>
    </xf>
    <xf numFmtId="49" fontId="28" fillId="6" borderId="1" xfId="0" applyNumberFormat="1" applyFont="1" applyFill="1" applyBorder="1" applyAlignment="1">
      <alignment horizontal="center" vertical="center"/>
    </xf>
  </cellXfs>
  <cellStyles count="14">
    <cellStyle name="Normal" xfId="0" builtinId="0"/>
    <cellStyle name="Normal 2" xfId="2" xr:uid="{00000000-0005-0000-0000-000006000000}"/>
    <cellStyle name="Normal 2 3 2" xfId="3" xr:uid="{00000000-0005-0000-0000-000007000000}"/>
    <cellStyle name="Normal 2 3 2 2" xfId="4" xr:uid="{00000000-0005-0000-0000-000008000000}"/>
    <cellStyle name="Normal 3" xfId="5" xr:uid="{00000000-0005-0000-0000-000009000000}"/>
    <cellStyle name="Normal_2040-0" xfId="6" xr:uid="{00000000-0005-0000-0000-00000A000000}"/>
    <cellStyle name="Normal_Adic-4" xfId="7" xr:uid="{00000000-0005-0000-0000-00000B000000}"/>
    <cellStyle name="Normal_EPAR, EEE01 e LR_EEE01" xfId="8" xr:uid="{00000000-0005-0000-0000-00000C000000}"/>
    <cellStyle name="Resultado" xfId="9" xr:uid="{00000000-0005-0000-0000-00000D000000}"/>
    <cellStyle name="TableStyleLight1" xfId="10" xr:uid="{00000000-0005-0000-0000-00000E000000}"/>
    <cellStyle name="Título" xfId="11" xr:uid="{00000000-0005-0000-0000-00000F000000}"/>
    <cellStyle name="Vírgula" xfId="1" builtinId="3"/>
    <cellStyle name="Vírgula 2" xfId="12" xr:uid="{00000000-0005-0000-0000-000010000000}"/>
    <cellStyle name="Vírgula 3" xfId="13" xr:uid="{00000000-0005-0000-0000-00001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FF99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101880</xdr:colOff>
      <xdr:row>0</xdr:row>
      <xdr:rowOff>77760</xdr:rowOff>
    </xdr:from>
    <xdr:to>
      <xdr:col>9</xdr:col>
      <xdr:colOff>0</xdr:colOff>
      <xdr:row>3</xdr:row>
      <xdr:rowOff>242280</xdr:rowOff>
    </xdr:to>
    <xdr:pic>
      <xdr:nvPicPr>
        <xdr:cNvPr id="2" name="Figura 1_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49880" y="77760"/>
          <a:ext cx="1374480" cy="1069920"/>
        </a:xfrm>
        <a:prstGeom prst="rect">
          <a:avLst/>
        </a:prstGeom>
        <a:ln w="1260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view="pageBreakPreview" topLeftCell="A22" zoomScale="60" zoomScaleNormal="85" workbookViewId="0">
      <selection activeCell="U13" sqref="U13"/>
    </sheetView>
  </sheetViews>
  <sheetFormatPr defaultColWidth="9" defaultRowHeight="15"/>
  <cols>
    <col min="1" max="1" width="9.28515625" style="1" customWidth="1"/>
    <col min="2" max="2" width="103.42578125" style="2" customWidth="1"/>
    <col min="3" max="3" width="7.42578125" style="2" customWidth="1"/>
    <col min="4" max="4" width="24.85546875" style="2" customWidth="1"/>
    <col min="5" max="5" width="7.85546875" style="3" customWidth="1"/>
    <col min="6" max="6" width="9.140625" style="4" customWidth="1"/>
    <col min="7" max="7" width="13" style="2" customWidth="1"/>
    <col min="8" max="8" width="12.85546875" style="2" customWidth="1"/>
    <col min="9" max="9" width="21.5703125" style="2" customWidth="1"/>
    <col min="10" max="10" width="7.140625" style="2" hidden="1" customWidth="1"/>
    <col min="777" max="781" width="9.7109375" customWidth="1"/>
  </cols>
  <sheetData>
    <row r="1" spans="1:10" ht="24.4" customHeight="1">
      <c r="A1" s="6" t="s">
        <v>0</v>
      </c>
      <c r="B1" s="117" t="s">
        <v>1</v>
      </c>
      <c r="C1" s="117"/>
      <c r="D1" s="117"/>
      <c r="E1" s="117"/>
      <c r="F1" s="117"/>
      <c r="G1" s="117"/>
      <c r="H1" s="7"/>
      <c r="I1" s="118"/>
      <c r="J1" s="8"/>
    </row>
    <row r="2" spans="1:10" ht="23.45" customHeight="1">
      <c r="A2" s="6" t="s">
        <v>2</v>
      </c>
      <c r="B2" s="119" t="s">
        <v>3</v>
      </c>
      <c r="C2" s="119"/>
      <c r="D2" s="119"/>
      <c r="E2" s="119"/>
      <c r="F2" s="119"/>
      <c r="G2" s="119"/>
      <c r="H2" s="9"/>
      <c r="I2" s="118"/>
      <c r="J2" s="8"/>
    </row>
    <row r="3" spans="1:10" ht="23.45" customHeight="1">
      <c r="A3" s="6" t="s">
        <v>4</v>
      </c>
      <c r="B3" s="117" t="s">
        <v>5</v>
      </c>
      <c r="C3" s="117"/>
      <c r="D3" s="117"/>
      <c r="E3" s="117"/>
      <c r="F3" s="117"/>
      <c r="G3" s="117"/>
      <c r="H3" s="7"/>
      <c r="I3" s="118"/>
      <c r="J3" s="8"/>
    </row>
    <row r="4" spans="1:10" ht="27" customHeight="1">
      <c r="A4" s="6" t="s">
        <v>6</v>
      </c>
      <c r="B4" s="7" t="s">
        <v>7</v>
      </c>
      <c r="C4" s="7"/>
      <c r="D4" s="10" t="s">
        <v>8</v>
      </c>
      <c r="E4" s="120">
        <v>0.28699999999999998</v>
      </c>
      <c r="F4" s="120"/>
      <c r="G4" s="7" t="s">
        <v>9</v>
      </c>
      <c r="H4" s="10">
        <v>0.16800000000000001</v>
      </c>
      <c r="I4" s="118"/>
      <c r="J4" s="8"/>
    </row>
    <row r="5" spans="1:10" ht="22.5" customHeight="1">
      <c r="A5" s="114" t="s">
        <v>10</v>
      </c>
      <c r="B5" s="114"/>
      <c r="C5" s="114"/>
      <c r="D5" s="114"/>
      <c r="E5" s="114"/>
      <c r="F5" s="114"/>
      <c r="G5" s="114"/>
      <c r="H5" s="114"/>
      <c r="I5" s="114"/>
      <c r="J5" s="11"/>
    </row>
    <row r="6" spans="1:10" ht="14.25" customHeight="1">
      <c r="A6" s="115" t="s">
        <v>11</v>
      </c>
      <c r="B6" s="115"/>
      <c r="C6" s="115"/>
      <c r="D6" s="115"/>
      <c r="E6" s="115"/>
      <c r="F6" s="115"/>
      <c r="G6" s="115"/>
      <c r="H6" s="115"/>
      <c r="I6" s="115"/>
    </row>
    <row r="7" spans="1:10" ht="25.5">
      <c r="A7" s="12" t="s">
        <v>12</v>
      </c>
      <c r="B7" s="13" t="s">
        <v>13</v>
      </c>
      <c r="C7" s="13" t="s">
        <v>14</v>
      </c>
      <c r="D7" s="14" t="s">
        <v>15</v>
      </c>
      <c r="E7" s="13" t="s">
        <v>16</v>
      </c>
      <c r="F7" s="14" t="s">
        <v>17</v>
      </c>
      <c r="G7" s="14" t="s">
        <v>18</v>
      </c>
      <c r="H7" s="14" t="s">
        <v>19</v>
      </c>
      <c r="I7" s="14" t="s">
        <v>20</v>
      </c>
      <c r="J7" s="15"/>
    </row>
    <row r="8" spans="1:10" ht="26.1" customHeight="1">
      <c r="A8" s="16" t="s">
        <v>21</v>
      </c>
      <c r="B8" s="17" t="s">
        <v>22</v>
      </c>
      <c r="C8" s="17"/>
      <c r="D8" s="17"/>
      <c r="E8" s="18"/>
      <c r="F8" s="18"/>
      <c r="G8" s="19"/>
      <c r="H8" s="19"/>
      <c r="I8" s="20">
        <f>SUM(I9:I11)</f>
        <v>33059.93</v>
      </c>
      <c r="J8" s="21"/>
    </row>
    <row r="9" spans="1:10" ht="19.899999999999999" customHeight="1">
      <c r="A9" s="22" t="s">
        <v>23</v>
      </c>
      <c r="B9" s="23" t="s">
        <v>24</v>
      </c>
      <c r="C9" s="23" t="s">
        <v>25</v>
      </c>
      <c r="D9" s="24">
        <v>99063</v>
      </c>
      <c r="E9" s="25" t="s">
        <v>26</v>
      </c>
      <c r="F9" s="25">
        <v>275.37</v>
      </c>
      <c r="G9" s="26">
        <v>11.09</v>
      </c>
      <c r="H9" s="26">
        <f>G9*(1+$E$4)</f>
        <v>14.27</v>
      </c>
      <c r="I9" s="27">
        <f>H9*F9</f>
        <v>3929.53</v>
      </c>
    </row>
    <row r="10" spans="1:10" ht="39">
      <c r="A10" s="22" t="s">
        <v>27</v>
      </c>
      <c r="B10" s="28" t="s">
        <v>28</v>
      </c>
      <c r="C10" s="23" t="s">
        <v>25</v>
      </c>
      <c r="D10" s="24">
        <v>5901</v>
      </c>
      <c r="E10" s="25" t="s">
        <v>29</v>
      </c>
      <c r="F10" s="25">
        <v>40</v>
      </c>
      <c r="G10" s="26">
        <v>325.86</v>
      </c>
      <c r="H10" s="26">
        <f>G10*(1+$E$4)</f>
        <v>419.38</v>
      </c>
      <c r="I10" s="27">
        <f>H10*F10</f>
        <v>16775.2</v>
      </c>
    </row>
    <row r="11" spans="1:10">
      <c r="A11" s="22" t="s">
        <v>30</v>
      </c>
      <c r="B11" s="29" t="s">
        <v>31</v>
      </c>
      <c r="C11" s="23" t="s">
        <v>25</v>
      </c>
      <c r="D11" s="24">
        <v>4813</v>
      </c>
      <c r="E11" s="25" t="s">
        <v>32</v>
      </c>
      <c r="F11" s="25">
        <v>24</v>
      </c>
      <c r="G11" s="26">
        <v>400</v>
      </c>
      <c r="H11" s="26">
        <f>G11*(1+$E$4)</f>
        <v>514.79999999999995</v>
      </c>
      <c r="I11" s="27">
        <f>H11*F11</f>
        <v>12355.2</v>
      </c>
    </row>
    <row r="12" spans="1:10" ht="27" customHeight="1">
      <c r="A12" s="30" t="s">
        <v>33</v>
      </c>
      <c r="B12" s="31" t="s">
        <v>34</v>
      </c>
      <c r="C12" s="31"/>
      <c r="D12" s="32"/>
      <c r="E12" s="33"/>
      <c r="F12" s="33"/>
      <c r="G12" s="34"/>
      <c r="H12" s="34"/>
      <c r="I12" s="35">
        <f>SUM(I13:I20)</f>
        <v>24283.78</v>
      </c>
    </row>
    <row r="13" spans="1:10" ht="42.4" customHeight="1">
      <c r="A13" s="22" t="s">
        <v>35</v>
      </c>
      <c r="B13" s="36" t="s">
        <v>36</v>
      </c>
      <c r="C13" s="23" t="s">
        <v>25</v>
      </c>
      <c r="D13" s="24">
        <v>102276</v>
      </c>
      <c r="E13" s="25" t="s">
        <v>37</v>
      </c>
      <c r="F13" s="25">
        <v>104.17</v>
      </c>
      <c r="G13" s="26">
        <v>11.85</v>
      </c>
      <c r="H13" s="26">
        <f t="shared" ref="H13:H20" si="0">G13*(1+$E$4)</f>
        <v>15.25</v>
      </c>
      <c r="I13" s="27">
        <f t="shared" ref="I13:I20" si="1">H13*F13</f>
        <v>1588.59</v>
      </c>
    </row>
    <row r="14" spans="1:10" ht="42.4" customHeight="1">
      <c r="A14" s="22" t="s">
        <v>38</v>
      </c>
      <c r="B14" s="23" t="s">
        <v>39</v>
      </c>
      <c r="C14" s="23" t="s">
        <v>25</v>
      </c>
      <c r="D14" s="24">
        <v>90084</v>
      </c>
      <c r="E14" s="25" t="s">
        <v>40</v>
      </c>
      <c r="F14" s="25">
        <v>295.41000000000003</v>
      </c>
      <c r="G14" s="37">
        <v>10.19</v>
      </c>
      <c r="H14" s="26">
        <f t="shared" si="0"/>
        <v>13.11</v>
      </c>
      <c r="I14" s="27">
        <f t="shared" si="1"/>
        <v>3872.83</v>
      </c>
    </row>
    <row r="15" spans="1:10" ht="42.4" customHeight="1">
      <c r="A15" s="22" t="s">
        <v>41</v>
      </c>
      <c r="B15" s="38" t="s">
        <v>42</v>
      </c>
      <c r="C15" s="23" t="s">
        <v>25</v>
      </c>
      <c r="D15" s="24">
        <v>101579</v>
      </c>
      <c r="E15" s="25" t="s">
        <v>43</v>
      </c>
      <c r="F15" s="25">
        <v>69.8</v>
      </c>
      <c r="G15" s="26">
        <v>54.98</v>
      </c>
      <c r="H15" s="26">
        <f t="shared" si="0"/>
        <v>70.760000000000005</v>
      </c>
      <c r="I15" s="27">
        <f t="shared" si="1"/>
        <v>4939.05</v>
      </c>
    </row>
    <row r="16" spans="1:10" ht="42.4" customHeight="1">
      <c r="A16" s="22" t="s">
        <v>44</v>
      </c>
      <c r="B16" s="39" t="s">
        <v>45</v>
      </c>
      <c r="C16" s="23" t="s">
        <v>25</v>
      </c>
      <c r="D16" s="24" t="s">
        <v>46</v>
      </c>
      <c r="E16" s="25" t="s">
        <v>37</v>
      </c>
      <c r="F16" s="25">
        <v>288.39999999999998</v>
      </c>
      <c r="G16" s="26">
        <v>22.75</v>
      </c>
      <c r="H16" s="26">
        <f t="shared" si="0"/>
        <v>29.28</v>
      </c>
      <c r="I16" s="27">
        <f t="shared" si="1"/>
        <v>8444.35</v>
      </c>
    </row>
    <row r="17" spans="1:10" ht="42.4" customHeight="1">
      <c r="A17" s="22" t="s">
        <v>47</v>
      </c>
      <c r="B17" s="36" t="s">
        <v>48</v>
      </c>
      <c r="C17" s="23" t="s">
        <v>25</v>
      </c>
      <c r="D17" s="24">
        <v>93381</v>
      </c>
      <c r="E17" s="25" t="s">
        <v>37</v>
      </c>
      <c r="F17" s="25">
        <v>100.91</v>
      </c>
      <c r="G17" s="37">
        <v>20.79</v>
      </c>
      <c r="H17" s="26">
        <f t="shared" si="0"/>
        <v>26.76</v>
      </c>
      <c r="I17" s="27">
        <f t="shared" si="1"/>
        <v>2700.35</v>
      </c>
    </row>
    <row r="18" spans="1:10" ht="42.4" customHeight="1">
      <c r="A18" s="22" t="s">
        <v>49</v>
      </c>
      <c r="B18" s="23" t="s">
        <v>50</v>
      </c>
      <c r="C18" s="23" t="s">
        <v>25</v>
      </c>
      <c r="D18" s="24" t="s">
        <v>51</v>
      </c>
      <c r="E18" s="25" t="s">
        <v>37</v>
      </c>
      <c r="F18" s="25">
        <v>10.27</v>
      </c>
      <c r="G18" s="26">
        <v>9.27</v>
      </c>
      <c r="H18" s="26">
        <f t="shared" si="0"/>
        <v>11.93</v>
      </c>
      <c r="I18" s="27">
        <f t="shared" si="1"/>
        <v>122.52</v>
      </c>
    </row>
    <row r="19" spans="1:10" ht="42.4" customHeight="1">
      <c r="A19" s="22" t="s">
        <v>52</v>
      </c>
      <c r="B19" s="23" t="s">
        <v>53</v>
      </c>
      <c r="C19" s="23" t="s">
        <v>25</v>
      </c>
      <c r="D19" s="24" t="s">
        <v>54</v>
      </c>
      <c r="E19" s="25" t="s">
        <v>55</v>
      </c>
      <c r="F19" s="40">
        <v>51.35</v>
      </c>
      <c r="G19" s="41">
        <v>3.12</v>
      </c>
      <c r="H19" s="26">
        <f t="shared" si="0"/>
        <v>4.0199999999999996</v>
      </c>
      <c r="I19" s="27">
        <f t="shared" si="1"/>
        <v>206.43</v>
      </c>
    </row>
    <row r="20" spans="1:10" ht="42.4" customHeight="1">
      <c r="A20" s="22" t="s">
        <v>56</v>
      </c>
      <c r="B20" s="23" t="s">
        <v>57</v>
      </c>
      <c r="C20" s="23" t="s">
        <v>25</v>
      </c>
      <c r="D20" s="24" t="s">
        <v>58</v>
      </c>
      <c r="E20" s="42" t="s">
        <v>59</v>
      </c>
      <c r="F20" s="42">
        <v>15.41</v>
      </c>
      <c r="G20" s="43">
        <v>121.5</v>
      </c>
      <c r="H20" s="26">
        <f t="shared" si="0"/>
        <v>156.37</v>
      </c>
      <c r="I20" s="27">
        <f t="shared" si="1"/>
        <v>2409.66</v>
      </c>
    </row>
    <row r="21" spans="1:10" ht="24.75" customHeight="1">
      <c r="A21" s="30" t="s">
        <v>60</v>
      </c>
      <c r="B21" s="31" t="s">
        <v>61</v>
      </c>
      <c r="C21" s="31"/>
      <c r="D21" s="32"/>
      <c r="E21" s="33"/>
      <c r="F21" s="33"/>
      <c r="G21" s="34"/>
      <c r="H21" s="34"/>
      <c r="I21" s="35">
        <f>SUM(I22:I25)</f>
        <v>82642.17</v>
      </c>
    </row>
    <row r="22" spans="1:10" ht="32.65" customHeight="1">
      <c r="A22" s="22" t="s">
        <v>62</v>
      </c>
      <c r="B22" s="23" t="s">
        <v>63</v>
      </c>
      <c r="C22" s="23" t="s">
        <v>25</v>
      </c>
      <c r="D22" s="24">
        <v>90703</v>
      </c>
      <c r="E22" s="25" t="s">
        <v>26</v>
      </c>
      <c r="F22" s="25">
        <v>275.37</v>
      </c>
      <c r="G22" s="26">
        <v>201.93</v>
      </c>
      <c r="H22" s="26">
        <f t="shared" ref="H22:H24" si="2">G22*(1+$E$4)</f>
        <v>259.88</v>
      </c>
      <c r="I22" s="27">
        <f>H22*F22</f>
        <v>71563.16</v>
      </c>
    </row>
    <row r="23" spans="1:10" ht="26.25">
      <c r="A23" s="22" t="s">
        <v>64</v>
      </c>
      <c r="B23" s="39" t="s">
        <v>65</v>
      </c>
      <c r="C23" s="23" t="s">
        <v>25</v>
      </c>
      <c r="D23" s="24" t="s">
        <v>66</v>
      </c>
      <c r="E23" s="42" t="s">
        <v>67</v>
      </c>
      <c r="F23" s="42">
        <v>5</v>
      </c>
      <c r="G23" s="43">
        <v>1050.02</v>
      </c>
      <c r="H23" s="26">
        <f t="shared" si="2"/>
        <v>1351.38</v>
      </c>
      <c r="I23" s="27">
        <f>H23*F23</f>
        <v>6756.9</v>
      </c>
      <c r="J23" s="44"/>
    </row>
    <row r="24" spans="1:10" ht="40.9" customHeight="1">
      <c r="A24" s="22" t="s">
        <v>68</v>
      </c>
      <c r="B24" s="39" t="s">
        <v>69</v>
      </c>
      <c r="C24" s="23" t="s">
        <v>25</v>
      </c>
      <c r="D24" s="24" t="s">
        <v>70</v>
      </c>
      <c r="E24" s="25" t="s">
        <v>26</v>
      </c>
      <c r="F24" s="25">
        <v>1.45</v>
      </c>
      <c r="G24" s="26">
        <v>335.51</v>
      </c>
      <c r="H24" s="26">
        <f t="shared" si="2"/>
        <v>431.8</v>
      </c>
      <c r="I24" s="27">
        <f>H24*F24</f>
        <v>626.11</v>
      </c>
    </row>
    <row r="25" spans="1:10" ht="40.9" customHeight="1">
      <c r="A25" s="22" t="s">
        <v>71</v>
      </c>
      <c r="B25" s="23" t="s">
        <v>72</v>
      </c>
      <c r="C25" s="23" t="s">
        <v>25</v>
      </c>
      <c r="D25" s="24" t="s">
        <v>73</v>
      </c>
      <c r="E25" s="25" t="s">
        <v>67</v>
      </c>
      <c r="F25" s="25">
        <v>5</v>
      </c>
      <c r="G25" s="26">
        <v>632.88</v>
      </c>
      <c r="H25" s="26">
        <f>G25*(1+$H$4)</f>
        <v>739.2</v>
      </c>
      <c r="I25" s="27">
        <f>H25*F25</f>
        <v>3696</v>
      </c>
    </row>
    <row r="26" spans="1:10" ht="27" customHeight="1">
      <c r="A26" s="30" t="s">
        <v>74</v>
      </c>
      <c r="B26" s="31" t="s">
        <v>75</v>
      </c>
      <c r="C26" s="31"/>
      <c r="D26" s="32"/>
      <c r="E26" s="45"/>
      <c r="F26" s="33"/>
      <c r="G26" s="34"/>
      <c r="H26" s="34"/>
      <c r="I26" s="35">
        <f>SUM(I27:I34)</f>
        <v>55225.79</v>
      </c>
    </row>
    <row r="27" spans="1:10" ht="34.9" customHeight="1">
      <c r="A27" s="46" t="s">
        <v>76</v>
      </c>
      <c r="B27" s="47" t="s">
        <v>77</v>
      </c>
      <c r="C27" s="23" t="s">
        <v>25</v>
      </c>
      <c r="D27" s="48" t="s">
        <v>78</v>
      </c>
      <c r="E27" s="49" t="s">
        <v>43</v>
      </c>
      <c r="F27" s="42">
        <v>247.83</v>
      </c>
      <c r="G27" s="50">
        <v>25</v>
      </c>
      <c r="H27" s="26">
        <f t="shared" ref="H27:H34" si="3">G27*(1+$E$4)</f>
        <v>32.18</v>
      </c>
      <c r="I27" s="27">
        <f t="shared" ref="I27:I34" si="4">H27*F27</f>
        <v>7975.17</v>
      </c>
      <c r="J27" s="51"/>
    </row>
    <row r="28" spans="1:10" ht="42.4" customHeight="1">
      <c r="A28" s="46" t="s">
        <v>79</v>
      </c>
      <c r="B28" s="23" t="s">
        <v>50</v>
      </c>
      <c r="C28" s="23" t="s">
        <v>25</v>
      </c>
      <c r="D28" s="24" t="s">
        <v>51</v>
      </c>
      <c r="E28" s="25" t="s">
        <v>37</v>
      </c>
      <c r="F28" s="25">
        <v>49.58</v>
      </c>
      <c r="G28" s="26">
        <v>9.27</v>
      </c>
      <c r="H28" s="26">
        <f t="shared" si="3"/>
        <v>11.93</v>
      </c>
      <c r="I28" s="27">
        <f t="shared" si="4"/>
        <v>591.49</v>
      </c>
      <c r="J28" s="51"/>
    </row>
    <row r="29" spans="1:10" ht="42.4" customHeight="1">
      <c r="A29" s="46" t="s">
        <v>80</v>
      </c>
      <c r="B29" s="23" t="s">
        <v>53</v>
      </c>
      <c r="C29" s="23" t="s">
        <v>25</v>
      </c>
      <c r="D29" s="24" t="s">
        <v>54</v>
      </c>
      <c r="E29" s="25" t="s">
        <v>55</v>
      </c>
      <c r="F29" s="25">
        <v>247.9</v>
      </c>
      <c r="G29" s="41">
        <v>3.12</v>
      </c>
      <c r="H29" s="26">
        <f t="shared" si="3"/>
        <v>4.0199999999999996</v>
      </c>
      <c r="I29" s="27">
        <f t="shared" si="4"/>
        <v>996.56</v>
      </c>
      <c r="J29" s="51"/>
    </row>
    <row r="30" spans="1:10" ht="42.4" customHeight="1">
      <c r="A30" s="46" t="s">
        <v>81</v>
      </c>
      <c r="B30" s="23" t="s">
        <v>57</v>
      </c>
      <c r="C30" s="23" t="s">
        <v>25</v>
      </c>
      <c r="D30" s="24" t="s">
        <v>58</v>
      </c>
      <c r="E30" s="42" t="s">
        <v>59</v>
      </c>
      <c r="F30" s="42">
        <v>89.24</v>
      </c>
      <c r="G30" s="43">
        <v>121.5</v>
      </c>
      <c r="H30" s="26">
        <f t="shared" si="3"/>
        <v>156.37</v>
      </c>
      <c r="I30" s="27">
        <f t="shared" si="4"/>
        <v>13954.46</v>
      </c>
      <c r="J30" s="51"/>
    </row>
    <row r="31" spans="1:10" ht="42.4" customHeight="1">
      <c r="A31" s="46" t="s">
        <v>82</v>
      </c>
      <c r="B31" s="23" t="s">
        <v>83</v>
      </c>
      <c r="C31" s="23" t="s">
        <v>25</v>
      </c>
      <c r="D31" s="24" t="s">
        <v>84</v>
      </c>
      <c r="E31" s="25" t="s">
        <v>37</v>
      </c>
      <c r="F31" s="25">
        <v>37.17</v>
      </c>
      <c r="G31" s="26">
        <v>142.75</v>
      </c>
      <c r="H31" s="26">
        <f t="shared" si="3"/>
        <v>183.72</v>
      </c>
      <c r="I31" s="27">
        <f t="shared" si="4"/>
        <v>6828.87</v>
      </c>
    </row>
    <row r="32" spans="1:10" ht="42.4" customHeight="1">
      <c r="A32" s="46" t="s">
        <v>85</v>
      </c>
      <c r="B32" s="23" t="s">
        <v>86</v>
      </c>
      <c r="C32" s="23" t="s">
        <v>25</v>
      </c>
      <c r="D32" s="24" t="s">
        <v>87</v>
      </c>
      <c r="E32" s="25" t="s">
        <v>37</v>
      </c>
      <c r="F32" s="25">
        <v>12.39</v>
      </c>
      <c r="G32" s="26">
        <v>1487.89</v>
      </c>
      <c r="H32" s="26">
        <f t="shared" si="3"/>
        <v>1914.91</v>
      </c>
      <c r="I32" s="27">
        <f t="shared" si="4"/>
        <v>23725.73</v>
      </c>
    </row>
    <row r="33" spans="1:9" ht="42.4" customHeight="1">
      <c r="A33" s="46" t="s">
        <v>88</v>
      </c>
      <c r="B33" s="23" t="s">
        <v>89</v>
      </c>
      <c r="C33" s="23" t="s">
        <v>25</v>
      </c>
      <c r="D33" s="24" t="s">
        <v>90</v>
      </c>
      <c r="E33" s="25" t="s">
        <v>91</v>
      </c>
      <c r="F33" s="40">
        <v>371.7</v>
      </c>
      <c r="G33" s="26">
        <v>1.9</v>
      </c>
      <c r="H33" s="26">
        <f t="shared" si="3"/>
        <v>2.4500000000000002</v>
      </c>
      <c r="I33" s="27">
        <f t="shared" si="4"/>
        <v>910.67</v>
      </c>
    </row>
    <row r="34" spans="1:9" ht="42.4" customHeight="1">
      <c r="A34" s="46" t="s">
        <v>92</v>
      </c>
      <c r="B34" s="23" t="s">
        <v>93</v>
      </c>
      <c r="C34" s="23" t="s">
        <v>25</v>
      </c>
      <c r="D34" s="52" t="s">
        <v>94</v>
      </c>
      <c r="E34" s="25" t="s">
        <v>91</v>
      </c>
      <c r="F34" s="25">
        <v>247.8</v>
      </c>
      <c r="G34" s="26">
        <v>0.76</v>
      </c>
      <c r="H34" s="26">
        <f t="shared" si="3"/>
        <v>0.98</v>
      </c>
      <c r="I34" s="27">
        <f t="shared" si="4"/>
        <v>242.84</v>
      </c>
    </row>
    <row r="35" spans="1:9" ht="23.1" customHeight="1">
      <c r="A35" s="116" t="s">
        <v>95</v>
      </c>
      <c r="B35" s="116"/>
      <c r="C35" s="116"/>
      <c r="D35" s="116"/>
      <c r="E35" s="116"/>
      <c r="F35" s="116"/>
      <c r="G35" s="116"/>
      <c r="H35" s="116"/>
      <c r="I35" s="53">
        <f>I8+I12+I21+I26</f>
        <v>195211.67</v>
      </c>
    </row>
  </sheetData>
  <mergeCells count="8">
    <mergeCell ref="A5:I5"/>
    <mergeCell ref="A6:I6"/>
    <mergeCell ref="A35:H35"/>
    <mergeCell ref="B1:G1"/>
    <mergeCell ref="I1:I4"/>
    <mergeCell ref="B2:G2"/>
    <mergeCell ref="B3:G3"/>
    <mergeCell ref="E4:F4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63" pageOrder="overThenDown" orientation="landscape" useFirstPageNumber="1" horizontalDpi="300" verticalDpi="300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57"/>
  <sheetViews>
    <sheetView topLeftCell="I1" zoomScale="85" zoomScaleNormal="85" workbookViewId="0">
      <selection activeCell="R20" sqref="R20"/>
    </sheetView>
  </sheetViews>
  <sheetFormatPr defaultColWidth="9.85546875" defaultRowHeight="15"/>
  <cols>
    <col min="1" max="1" width="12.85546875" style="54" customWidth="1"/>
    <col min="2" max="2" width="20.28515625" style="54" customWidth="1"/>
    <col min="3" max="3" width="16" style="54" customWidth="1"/>
    <col min="4" max="4" width="11.28515625" style="54" customWidth="1"/>
    <col min="5" max="5" width="12" style="55" customWidth="1"/>
    <col min="6" max="6" width="10.42578125" style="55" hidden="1" customWidth="1"/>
    <col min="7" max="7" width="10.42578125" style="55" customWidth="1"/>
    <col min="8" max="8" width="18.42578125" style="55" customWidth="1"/>
    <col min="9" max="9" width="13.140625" style="55" customWidth="1"/>
    <col min="10" max="10" width="18" style="54" customWidth="1"/>
    <col min="11" max="11" width="13.7109375" style="54" customWidth="1"/>
    <col min="12" max="12" width="18.42578125" style="55" customWidth="1"/>
    <col min="13" max="13" width="20.5703125" style="55" customWidth="1"/>
    <col min="14" max="14" width="19.42578125" style="55" customWidth="1"/>
    <col min="15" max="15" width="18.140625" style="55" customWidth="1"/>
    <col min="16" max="16" width="19.85546875" style="55" customWidth="1"/>
    <col min="17" max="17" width="13.42578125" style="56" customWidth="1"/>
    <col min="18" max="18" width="17.85546875" style="56" customWidth="1"/>
    <col min="19" max="19" width="15.7109375" style="56" customWidth="1"/>
    <col min="20" max="64" width="9.7109375" style="56" customWidth="1"/>
  </cols>
  <sheetData>
    <row r="1" spans="1:64" ht="15.75">
      <c r="A1" s="130" t="s">
        <v>96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</row>
    <row r="2" spans="1:64">
      <c r="A2" s="57"/>
      <c r="B2" s="57"/>
      <c r="P2" s="58"/>
      <c r="R2" s="59"/>
    </row>
    <row r="3" spans="1:64" ht="17.100000000000001" customHeight="1">
      <c r="A3" s="57"/>
      <c r="B3" s="57"/>
      <c r="O3" s="126" t="s">
        <v>97</v>
      </c>
      <c r="P3" s="124" t="s">
        <v>98</v>
      </c>
      <c r="Q3" s="124"/>
      <c r="R3" s="126" t="s">
        <v>99</v>
      </c>
      <c r="S3" s="126" t="s">
        <v>100</v>
      </c>
    </row>
    <row r="4" spans="1:64" ht="15.75" customHeight="1">
      <c r="A4" s="122" t="s">
        <v>101</v>
      </c>
      <c r="B4" s="122" t="s">
        <v>102</v>
      </c>
      <c r="C4" s="122" t="s">
        <v>103</v>
      </c>
      <c r="D4" s="122"/>
      <c r="E4" s="124" t="s">
        <v>104</v>
      </c>
      <c r="F4" s="124"/>
      <c r="G4" s="124"/>
      <c r="H4" s="127" t="s">
        <v>105</v>
      </c>
      <c r="I4" s="127" t="s">
        <v>106</v>
      </c>
      <c r="J4" s="126" t="s">
        <v>107</v>
      </c>
      <c r="K4" s="126" t="s">
        <v>108</v>
      </c>
      <c r="L4" s="127" t="s">
        <v>109</v>
      </c>
      <c r="M4" s="127" t="s">
        <v>110</v>
      </c>
      <c r="N4" s="127" t="s">
        <v>111</v>
      </c>
      <c r="O4" s="126"/>
      <c r="P4" s="126" t="s">
        <v>112</v>
      </c>
      <c r="Q4" s="126" t="s">
        <v>113</v>
      </c>
      <c r="R4" s="126"/>
      <c r="S4" s="126"/>
    </row>
    <row r="5" spans="1:64" ht="20.100000000000001" customHeight="1">
      <c r="A5" s="122"/>
      <c r="B5" s="122"/>
      <c r="C5" s="122"/>
      <c r="D5" s="122"/>
      <c r="E5" s="61" t="s">
        <v>114</v>
      </c>
      <c r="F5" s="61"/>
      <c r="G5" s="61" t="s">
        <v>115</v>
      </c>
      <c r="H5" s="127"/>
      <c r="I5" s="127"/>
      <c r="J5" s="126"/>
      <c r="K5" s="126"/>
      <c r="L5" s="127"/>
      <c r="M5" s="127"/>
      <c r="N5" s="127"/>
      <c r="O5" s="127"/>
      <c r="P5" s="127"/>
      <c r="Q5" s="126"/>
      <c r="R5" s="126"/>
      <c r="S5" s="126"/>
    </row>
    <row r="6" spans="1:64">
      <c r="A6" s="122"/>
      <c r="B6" s="122"/>
      <c r="C6" s="60" t="s">
        <v>114</v>
      </c>
      <c r="D6" s="60" t="s">
        <v>116</v>
      </c>
      <c r="E6" s="61" t="s">
        <v>26</v>
      </c>
      <c r="F6" s="61"/>
      <c r="G6" s="61" t="s">
        <v>26</v>
      </c>
      <c r="H6" s="61" t="s">
        <v>26</v>
      </c>
      <c r="I6" s="61" t="s">
        <v>26</v>
      </c>
      <c r="J6" s="62" t="s">
        <v>117</v>
      </c>
      <c r="K6" s="62"/>
      <c r="L6" s="61" t="s">
        <v>26</v>
      </c>
      <c r="M6" s="61" t="s">
        <v>26</v>
      </c>
      <c r="N6" s="61" t="s">
        <v>32</v>
      </c>
      <c r="O6" s="61" t="s">
        <v>40</v>
      </c>
      <c r="P6" s="62" t="s">
        <v>40</v>
      </c>
      <c r="Q6" s="62" t="s">
        <v>40</v>
      </c>
      <c r="R6" s="63" t="s">
        <v>40</v>
      </c>
      <c r="S6" s="63" t="s">
        <v>32</v>
      </c>
    </row>
    <row r="7" spans="1:64">
      <c r="A7" s="64" t="s">
        <v>118</v>
      </c>
      <c r="B7" s="65" t="s">
        <v>119</v>
      </c>
      <c r="C7" s="65" t="s">
        <v>120</v>
      </c>
      <c r="D7" s="65" t="s">
        <v>121</v>
      </c>
      <c r="E7" s="66">
        <v>1.55</v>
      </c>
      <c r="F7" s="66"/>
      <c r="G7" s="66">
        <v>1.64</v>
      </c>
      <c r="H7" s="66">
        <f>(E7+G7)/2</f>
        <v>1.6</v>
      </c>
      <c r="I7" s="66">
        <v>8.76</v>
      </c>
      <c r="J7" s="65">
        <v>200</v>
      </c>
      <c r="K7" s="65" t="s">
        <v>122</v>
      </c>
      <c r="L7" s="66">
        <v>0.9</v>
      </c>
      <c r="M7" s="66">
        <v>8.76</v>
      </c>
      <c r="N7" s="66">
        <f>L7*M7</f>
        <v>7.88</v>
      </c>
      <c r="O7" s="66">
        <f>H7*I7*L7</f>
        <v>12.61</v>
      </c>
      <c r="P7" s="66">
        <f>M7*L7*0.2</f>
        <v>1.58</v>
      </c>
      <c r="Q7" s="66">
        <f>I7*$C$40</f>
        <v>0.33</v>
      </c>
      <c r="R7" s="66">
        <f>O7-Q7</f>
        <v>12.28</v>
      </c>
      <c r="S7" s="66">
        <f>IF(G7&gt;1.5,(H7-1.5)*I7*1.5,0)</f>
        <v>1.31</v>
      </c>
    </row>
    <row r="8" spans="1:64">
      <c r="A8" s="64" t="s">
        <v>123</v>
      </c>
      <c r="B8" s="65" t="s">
        <v>119</v>
      </c>
      <c r="C8" s="65" t="s">
        <v>121</v>
      </c>
      <c r="D8" s="65" t="s">
        <v>124</v>
      </c>
      <c r="E8" s="66">
        <v>1.64</v>
      </c>
      <c r="F8" s="66"/>
      <c r="G8" s="66">
        <v>1.58</v>
      </c>
      <c r="H8" s="66">
        <f>(E8+G8)/2</f>
        <v>1.61</v>
      </c>
      <c r="I8" s="66">
        <v>89.51</v>
      </c>
      <c r="J8" s="65">
        <v>200</v>
      </c>
      <c r="K8" s="65" t="s">
        <v>122</v>
      </c>
      <c r="L8" s="66">
        <v>0.9</v>
      </c>
      <c r="M8" s="66">
        <v>89.51</v>
      </c>
      <c r="N8" s="66">
        <f>L8*M8</f>
        <v>80.56</v>
      </c>
      <c r="O8" s="66">
        <f>H8*I8*L8</f>
        <v>129.69999999999999</v>
      </c>
      <c r="P8" s="66">
        <f>M8*L8*0.2</f>
        <v>16.11</v>
      </c>
      <c r="Q8" s="66">
        <f>I8*$C$40</f>
        <v>3.34</v>
      </c>
      <c r="R8" s="66">
        <f>O8-Q8</f>
        <v>126.36</v>
      </c>
      <c r="S8" s="66">
        <f>IF(G8&gt;1.5,(H8-1.5)*I8*1.5,0)</f>
        <v>14.77</v>
      </c>
    </row>
    <row r="9" spans="1:64">
      <c r="A9" s="64" t="s">
        <v>125</v>
      </c>
      <c r="B9" s="65" t="s">
        <v>119</v>
      </c>
      <c r="C9" s="65" t="s">
        <v>124</v>
      </c>
      <c r="D9" s="65" t="s">
        <v>126</v>
      </c>
      <c r="E9" s="66">
        <v>1.58</v>
      </c>
      <c r="F9" s="66"/>
      <c r="G9" s="66">
        <v>2.2200000000000002</v>
      </c>
      <c r="H9" s="66">
        <f>(E9+G9)/2</f>
        <v>1.9</v>
      </c>
      <c r="I9" s="66">
        <v>89.53</v>
      </c>
      <c r="J9" s="65">
        <v>200</v>
      </c>
      <c r="K9" s="65" t="s">
        <v>122</v>
      </c>
      <c r="L9" s="66">
        <v>0.9</v>
      </c>
      <c r="M9" s="66">
        <v>89.53</v>
      </c>
      <c r="N9" s="66">
        <f>L9*M9</f>
        <v>80.58</v>
      </c>
      <c r="O9" s="67">
        <f>H9*I9*L9</f>
        <v>153.1</v>
      </c>
      <c r="P9" s="66">
        <f>M9*L9*0.2</f>
        <v>16.12</v>
      </c>
      <c r="Q9" s="66">
        <f>I9*$C$40</f>
        <v>3.34</v>
      </c>
      <c r="R9" s="66">
        <f>O9-Q9</f>
        <v>149.76</v>
      </c>
      <c r="S9" s="66">
        <f>IF(G9&gt;1.5,(H9-1.5)*I9*1.5,0)</f>
        <v>53.72</v>
      </c>
    </row>
    <row r="10" spans="1:64">
      <c r="A10" s="64" t="s">
        <v>127</v>
      </c>
      <c r="B10" s="65" t="s">
        <v>128</v>
      </c>
      <c r="C10" s="65" t="s">
        <v>120</v>
      </c>
      <c r="D10" s="65" t="s">
        <v>129</v>
      </c>
      <c r="E10" s="66">
        <v>1.22</v>
      </c>
      <c r="F10" s="66"/>
      <c r="G10" s="66">
        <v>1.25</v>
      </c>
      <c r="H10" s="66">
        <f>(E10+G10)/2</f>
        <v>1.24</v>
      </c>
      <c r="I10" s="66">
        <v>8.09</v>
      </c>
      <c r="J10" s="65">
        <v>200</v>
      </c>
      <c r="K10" s="65" t="s">
        <v>122</v>
      </c>
      <c r="L10" s="66">
        <v>0.9</v>
      </c>
      <c r="M10" s="66">
        <v>8.09</v>
      </c>
      <c r="N10" s="66">
        <f>L10*M10</f>
        <v>7.28</v>
      </c>
      <c r="O10" s="66">
        <f>H10*I10*L10</f>
        <v>9.0299999999999994</v>
      </c>
      <c r="P10" s="66">
        <f>M10*L10*0.2</f>
        <v>1.46</v>
      </c>
      <c r="Q10" s="66">
        <f>I10*$C$40</f>
        <v>0.3</v>
      </c>
      <c r="R10" s="66">
        <f>O10-Q10</f>
        <v>8.73</v>
      </c>
      <c r="S10" s="66">
        <f>IF(G10&gt;1.5,(H10-1.5)*I10*1.5,0)</f>
        <v>0</v>
      </c>
    </row>
    <row r="11" spans="1:64">
      <c r="A11" s="64" t="s">
        <v>130</v>
      </c>
      <c r="B11" s="65" t="s">
        <v>128</v>
      </c>
      <c r="C11" s="65" t="s">
        <v>129</v>
      </c>
      <c r="D11" s="65" t="s">
        <v>131</v>
      </c>
      <c r="E11" s="66">
        <v>1.25</v>
      </c>
      <c r="F11" s="66"/>
      <c r="G11" s="66">
        <v>1.41</v>
      </c>
      <c r="H11" s="66">
        <f>(E11+G11)/2</f>
        <v>1.33</v>
      </c>
      <c r="I11" s="66">
        <v>79.48</v>
      </c>
      <c r="J11" s="65">
        <v>200</v>
      </c>
      <c r="K11" s="65" t="s">
        <v>122</v>
      </c>
      <c r="L11" s="66">
        <v>0.9</v>
      </c>
      <c r="M11" s="66">
        <v>79.48</v>
      </c>
      <c r="N11" s="66">
        <f>L11*M11</f>
        <v>71.53</v>
      </c>
      <c r="O11" s="66">
        <f>H11*I11*L11</f>
        <v>95.14</v>
      </c>
      <c r="P11" s="66">
        <f>M11*L11*0.2</f>
        <v>14.31</v>
      </c>
      <c r="Q11" s="66">
        <f>I11*$C$40</f>
        <v>2.96</v>
      </c>
      <c r="R11" s="66">
        <f>O11-Q11</f>
        <v>92.18</v>
      </c>
      <c r="S11" s="66">
        <f>IF(G11&gt;2,(H11-2)*I11*2,0)</f>
        <v>0</v>
      </c>
    </row>
    <row r="12" spans="1:64" ht="11.85" customHeight="1">
      <c r="A12" s="65"/>
      <c r="B12" s="65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</row>
    <row r="13" spans="1:64">
      <c r="A13" s="128" t="s">
        <v>132</v>
      </c>
      <c r="B13" s="128"/>
      <c r="C13" s="128"/>
      <c r="D13" s="128"/>
      <c r="E13" s="128"/>
      <c r="F13" s="128"/>
      <c r="G13" s="128"/>
      <c r="H13" s="128"/>
      <c r="I13" s="68">
        <f>SUM(I7:I11)</f>
        <v>275.37</v>
      </c>
      <c r="J13" s="69"/>
      <c r="K13" s="69"/>
      <c r="L13" s="69"/>
      <c r="M13" s="70">
        <f t="shared" ref="M13:S13" si="0">SUM(M7:M11)</f>
        <v>275.37</v>
      </c>
      <c r="N13" s="70">
        <f t="shared" si="0"/>
        <v>247.83</v>
      </c>
      <c r="O13" s="70">
        <f t="shared" si="0"/>
        <v>399.58</v>
      </c>
      <c r="P13" s="70">
        <f t="shared" si="0"/>
        <v>49.58</v>
      </c>
      <c r="Q13" s="70">
        <f t="shared" si="0"/>
        <v>10.27</v>
      </c>
      <c r="R13" s="70">
        <f t="shared" si="0"/>
        <v>389.31</v>
      </c>
      <c r="S13" s="70">
        <f t="shared" si="0"/>
        <v>69.8</v>
      </c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J14" s="129"/>
      <c r="K14" s="129"/>
      <c r="L14" s="129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>
      <c r="A15" s="122" t="s">
        <v>133</v>
      </c>
      <c r="B15" s="122"/>
      <c r="C15" s="122"/>
      <c r="D15" s="122"/>
      <c r="E15" s="61" t="s">
        <v>134</v>
      </c>
      <c r="F15" s="61"/>
      <c r="G15" s="63"/>
      <c r="H15" s="124" t="s">
        <v>135</v>
      </c>
      <c r="I15" s="124"/>
      <c r="J15" s="124"/>
      <c r="K15" s="56"/>
      <c r="L15" s="124" t="s">
        <v>136</v>
      </c>
      <c r="M15" s="124"/>
      <c r="N15" s="124"/>
      <c r="O15" s="58"/>
      <c r="Q15" s="5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s="123" t="s">
        <v>137</v>
      </c>
      <c r="B16" s="123"/>
      <c r="C16" s="123"/>
      <c r="D16" s="123"/>
      <c r="E16" s="66">
        <f>SUMIFS(O$7:O$11,H$7:H$11,"&lt;=1,5")</f>
        <v>104.17</v>
      </c>
      <c r="F16" s="66"/>
      <c r="G16" s="71"/>
      <c r="H16" s="65" t="s">
        <v>102</v>
      </c>
      <c r="I16" s="65" t="s">
        <v>138</v>
      </c>
      <c r="J16" s="72" t="s">
        <v>139</v>
      </c>
      <c r="K16" s="56"/>
      <c r="L16" s="65" t="s">
        <v>102</v>
      </c>
      <c r="M16" s="65" t="s">
        <v>140</v>
      </c>
      <c r="N16" s="72" t="s">
        <v>141</v>
      </c>
      <c r="O16" s="54"/>
      <c r="P16" s="73"/>
      <c r="Q16" s="54"/>
      <c r="R16" s="55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s="123" t="s">
        <v>142</v>
      </c>
      <c r="B17" s="123"/>
      <c r="C17" s="123"/>
      <c r="D17" s="123"/>
      <c r="E17" s="66">
        <f>SUMIFS(O$7:O$11,H$7:H$11,"&gt;1,5",H$7:H$11,"&lt;=3")</f>
        <v>295.41000000000003</v>
      </c>
      <c r="F17" s="66"/>
      <c r="G17" s="71"/>
      <c r="H17" s="65" t="s">
        <v>119</v>
      </c>
      <c r="I17" s="66" t="s">
        <v>143</v>
      </c>
      <c r="J17" s="72">
        <f>SUM(I7:I9)</f>
        <v>187.8</v>
      </c>
      <c r="K17" s="56"/>
      <c r="L17" s="65" t="s">
        <v>119</v>
      </c>
      <c r="M17" s="66">
        <f>SUM(N7:N9)</f>
        <v>169.02</v>
      </c>
      <c r="N17" s="72">
        <f>M17*0.05</f>
        <v>8.4510000000000005</v>
      </c>
      <c r="O17" s="54"/>
      <c r="Q17" s="54"/>
      <c r="R17" s="55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s="123" t="s">
        <v>144</v>
      </c>
      <c r="B18" s="123"/>
      <c r="C18" s="123"/>
      <c r="D18" s="123"/>
      <c r="E18" s="66">
        <f>SUMIFS(O$7:O$11,H$7:H$11,"&gt;3")</f>
        <v>0</v>
      </c>
      <c r="F18" s="66"/>
      <c r="G18" s="71"/>
      <c r="H18" s="65" t="s">
        <v>145</v>
      </c>
      <c r="I18" s="65" t="s">
        <v>143</v>
      </c>
      <c r="J18" s="72">
        <f>SUM(I10:I11)</f>
        <v>87.57</v>
      </c>
      <c r="K18" s="56"/>
      <c r="L18" s="65" t="s">
        <v>145</v>
      </c>
      <c r="M18" s="65">
        <f>SUM(N10:N11)</f>
        <v>78.81</v>
      </c>
      <c r="N18" s="72">
        <f>M18*0.05</f>
        <v>3.9405000000000001</v>
      </c>
      <c r="O18" s="54"/>
      <c r="Q18" s="54"/>
      <c r="R18" s="55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s="122" t="s">
        <v>146</v>
      </c>
      <c r="B19" s="122"/>
      <c r="C19" s="122"/>
      <c r="D19" s="122"/>
      <c r="E19" s="61">
        <f>SUM(E16:E18)</f>
        <v>399.58</v>
      </c>
      <c r="F19" s="61"/>
      <c r="G19" s="71"/>
      <c r="H19" s="65"/>
      <c r="I19" s="65"/>
      <c r="J19" s="72"/>
      <c r="K19" s="56"/>
      <c r="L19" s="65"/>
      <c r="M19" s="65"/>
      <c r="N19" s="72"/>
      <c r="O19" s="56"/>
      <c r="P19" s="56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 ht="14.25" customHeight="1">
      <c r="H20" s="65"/>
      <c r="I20" s="65"/>
      <c r="J20" s="72"/>
      <c r="K20" s="56"/>
      <c r="L20" s="65"/>
      <c r="M20" s="65"/>
      <c r="N20" s="72"/>
      <c r="O20" s="74"/>
      <c r="P20" s="74"/>
      <c r="Q20" s="74"/>
      <c r="R20" s="74"/>
      <c r="S20" s="74"/>
      <c r="T20" s="74"/>
      <c r="U20" s="74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 ht="14.25" customHeight="1">
      <c r="H21" s="65"/>
      <c r="I21" s="65"/>
      <c r="J21" s="72"/>
      <c r="K21" s="56"/>
      <c r="L21" s="65"/>
      <c r="M21" s="65"/>
      <c r="N21" s="72"/>
      <c r="O21" s="74"/>
      <c r="P21" s="54"/>
      <c r="Q21" s="54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s="122" t="s">
        <v>147</v>
      </c>
      <c r="B22" s="122"/>
      <c r="C22" s="122"/>
      <c r="D22" s="122"/>
      <c r="E22" s="61" t="s">
        <v>134</v>
      </c>
      <c r="F22" s="61"/>
      <c r="G22" s="75"/>
      <c r="H22" s="62" t="s">
        <v>146</v>
      </c>
      <c r="I22" s="62"/>
      <c r="J22" s="76">
        <f>SUM(J17:J18)</f>
        <v>275.37</v>
      </c>
      <c r="K22" s="56"/>
      <c r="L22" s="62" t="s">
        <v>146</v>
      </c>
      <c r="M22" s="62"/>
      <c r="N22" s="76">
        <f>SUM(N17:N18)</f>
        <v>12.391500000000001</v>
      </c>
      <c r="O22" s="56"/>
      <c r="P22" s="56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>
      <c r="A23" s="123" t="s">
        <v>137</v>
      </c>
      <c r="B23" s="123"/>
      <c r="C23" s="123"/>
      <c r="D23" s="123"/>
      <c r="E23" s="66">
        <f>SUMIFS(R$7:R$11,H$7:H$11,"&lt;=1,5")</f>
        <v>100.91</v>
      </c>
      <c r="F23" s="66"/>
      <c r="H23" s="56"/>
      <c r="I23" s="56"/>
      <c r="J23" s="56"/>
      <c r="K23" s="56"/>
      <c r="L23" s="56"/>
      <c r="M23" s="73"/>
      <c r="N23" s="54"/>
      <c r="O23" s="73"/>
      <c r="P23" s="73"/>
      <c r="Q23" s="7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</row>
    <row r="24" spans="1:64">
      <c r="A24" s="123" t="s">
        <v>142</v>
      </c>
      <c r="B24" s="123"/>
      <c r="C24" s="123"/>
      <c r="D24" s="123"/>
      <c r="E24" s="66">
        <f>SUMIFS(R$7:R$11,H$7:H$11,"&gt;1,5",H$7:H$11,"&lt;=3")</f>
        <v>288.39999999999998</v>
      </c>
      <c r="F24" s="66"/>
      <c r="H24" s="56"/>
      <c r="I24" s="77"/>
      <c r="J24" s="77"/>
      <c r="K24" s="77"/>
      <c r="L24" s="56"/>
      <c r="M24" s="54"/>
      <c r="N24" s="54"/>
      <c r="O24" s="54"/>
      <c r="P24" s="54"/>
      <c r="Q24" s="5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s="123" t="s">
        <v>144</v>
      </c>
      <c r="B25" s="123"/>
      <c r="C25" s="123"/>
      <c r="D25" s="123"/>
      <c r="E25" s="66">
        <f>SUMIFS(R$7:R$11,H$7:H$11,"&gt;3")</f>
        <v>0</v>
      </c>
      <c r="F25" s="66"/>
      <c r="H25" s="125" t="s">
        <v>148</v>
      </c>
      <c r="I25" s="125"/>
      <c r="J25" s="125"/>
      <c r="K25" s="125"/>
      <c r="L25" s="125"/>
      <c r="M25" s="125"/>
      <c r="N25" s="125"/>
      <c r="O25" s="78"/>
      <c r="P25" s="78"/>
      <c r="Q25" s="78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s="122" t="s">
        <v>146</v>
      </c>
      <c r="B26" s="122"/>
      <c r="C26" s="122"/>
      <c r="D26" s="122"/>
      <c r="E26" s="61">
        <f>SUM(E23:E25)</f>
        <v>389.31</v>
      </c>
      <c r="F26" s="61"/>
      <c r="G26" s="75"/>
      <c r="H26" s="123" t="s">
        <v>12</v>
      </c>
      <c r="I26" s="123" t="s">
        <v>149</v>
      </c>
      <c r="J26" s="123"/>
      <c r="K26" s="123"/>
      <c r="L26" s="123" t="s">
        <v>150</v>
      </c>
      <c r="M26" s="123"/>
      <c r="N26" s="123"/>
      <c r="O26" s="78"/>
      <c r="P26" s="78"/>
      <c r="Q26" s="78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s="56"/>
      <c r="B27" s="56"/>
      <c r="C27" s="56"/>
      <c r="D27" s="56"/>
      <c r="E27" s="56"/>
      <c r="H27" s="123"/>
      <c r="I27" s="65" t="s">
        <v>151</v>
      </c>
      <c r="J27" s="65" t="s">
        <v>152</v>
      </c>
      <c r="K27" s="65" t="s">
        <v>153</v>
      </c>
      <c r="L27" s="65" t="s">
        <v>154</v>
      </c>
      <c r="M27" s="65" t="s">
        <v>155</v>
      </c>
      <c r="N27" s="79" t="s">
        <v>156</v>
      </c>
      <c r="O27"/>
      <c r="P27" s="78"/>
      <c r="Q27" s="78"/>
      <c r="R27" s="55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s="56"/>
      <c r="B28" s="56"/>
      <c r="C28" s="56"/>
      <c r="D28" s="56"/>
      <c r="E28" s="56"/>
      <c r="F28" s="61"/>
      <c r="H28" s="65">
        <v>1</v>
      </c>
      <c r="I28" s="65" t="s">
        <v>121</v>
      </c>
      <c r="J28" s="65">
        <v>200</v>
      </c>
      <c r="K28" s="66">
        <v>1.64</v>
      </c>
      <c r="L28" s="80">
        <v>1.35</v>
      </c>
      <c r="M28" s="80">
        <f>IF(K28-1.35&lt;1,IF(K28-1.35&gt;0,K28-1.35,0),1)</f>
        <v>0.28999999999999998</v>
      </c>
      <c r="N28" s="80">
        <f>IF(K28-(1.35+M28)&lt;0,0,K28-(1.35+M28))</f>
        <v>0</v>
      </c>
      <c r="O28"/>
      <c r="P28" s="78"/>
      <c r="Q28" s="78"/>
      <c r="R28" s="55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</row>
    <row r="29" spans="1:64">
      <c r="A29" s="122" t="s">
        <v>157</v>
      </c>
      <c r="B29" s="122"/>
      <c r="C29" s="122"/>
      <c r="D29" s="122"/>
      <c r="E29" s="61" t="s">
        <v>158</v>
      </c>
      <c r="F29" s="66"/>
      <c r="H29" s="65">
        <v>2</v>
      </c>
      <c r="I29" s="65" t="s">
        <v>124</v>
      </c>
      <c r="J29" s="65">
        <v>200</v>
      </c>
      <c r="K29" s="66">
        <v>1.58</v>
      </c>
      <c r="L29" s="80">
        <v>1.35</v>
      </c>
      <c r="M29" s="80">
        <f>IF(K29-1.35&lt;1,IF(K29-1.35&gt;0,K29-1.35,0),1)</f>
        <v>0.23</v>
      </c>
      <c r="N29" s="80">
        <f>IF(K29-(1.35+M29)&lt;0,0,K29-(1.35+M29))</f>
        <v>0</v>
      </c>
      <c r="O29"/>
      <c r="P29" s="78"/>
      <c r="Q29" s="78"/>
      <c r="R29" s="55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s="123" t="s">
        <v>159</v>
      </c>
      <c r="B30" s="123"/>
      <c r="C30" s="123"/>
      <c r="D30" s="123"/>
      <c r="E30" s="66">
        <f>SUMIF(H$7:H$11,"&lt;=3",S$7:S$11)</f>
        <v>69.8</v>
      </c>
      <c r="F30" s="66"/>
      <c r="H30" s="65">
        <v>3</v>
      </c>
      <c r="I30" s="65" t="s">
        <v>126</v>
      </c>
      <c r="J30" s="65">
        <v>200</v>
      </c>
      <c r="K30" s="66">
        <v>2.2200000000000002</v>
      </c>
      <c r="L30" s="80">
        <v>1.35</v>
      </c>
      <c r="M30" s="80">
        <f>IF(K30-1.35&lt;1,IF(K30-1.35&gt;0,K30-1.35,0),1)</f>
        <v>0.87</v>
      </c>
      <c r="N30" s="80">
        <f>IF(K30-(1.35+M30)&lt;0,0,K30-(1.35+M30))</f>
        <v>0</v>
      </c>
      <c r="O30"/>
      <c r="P30" s="78"/>
      <c r="Q30" s="78"/>
      <c r="R30" s="55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</row>
    <row r="31" spans="1:64">
      <c r="A31" s="123" t="s">
        <v>160</v>
      </c>
      <c r="B31" s="123"/>
      <c r="C31" s="123"/>
      <c r="D31" s="123"/>
      <c r="E31" s="66">
        <f>SUMIFS(S$7:S$11,H$7:H$11,"&gt;3",H$7:H$11,"&lt;=4,5")</f>
        <v>0</v>
      </c>
      <c r="F31" s="66"/>
      <c r="H31" s="65">
        <v>4</v>
      </c>
      <c r="I31" s="65" t="s">
        <v>129</v>
      </c>
      <c r="J31" s="65">
        <v>200</v>
      </c>
      <c r="K31" s="66">
        <v>1.25</v>
      </c>
      <c r="L31" s="80">
        <v>1.35</v>
      </c>
      <c r="M31" s="80">
        <f>IF(K31-1.35&lt;1,IF(K31-1.35&gt;0,K31-1.35,0),1)</f>
        <v>0</v>
      </c>
      <c r="N31" s="80">
        <f>IF(K31-(1.35+M31)&lt;0,0,K31-(1.35+M31))</f>
        <v>0</v>
      </c>
      <c r="O31"/>
    </row>
    <row r="32" spans="1:64">
      <c r="A32" s="123" t="s">
        <v>161</v>
      </c>
      <c r="B32" s="123"/>
      <c r="C32" s="123"/>
      <c r="D32" s="123"/>
      <c r="E32" s="66">
        <f>SUMIF(H$7:H$11,"&gt;=4,5",S$7:S$11)</f>
        <v>0</v>
      </c>
      <c r="F32" s="56"/>
      <c r="H32" s="65">
        <v>5</v>
      </c>
      <c r="I32" s="65" t="s">
        <v>131</v>
      </c>
      <c r="J32" s="65">
        <v>200</v>
      </c>
      <c r="K32" s="66">
        <v>1.41</v>
      </c>
      <c r="L32" s="80">
        <v>1.35</v>
      </c>
      <c r="M32" s="80">
        <f>IF(K32-1.35&lt;1,IF(K32-1.35&gt;0,K32-1.35,0),1)</f>
        <v>0.06</v>
      </c>
      <c r="N32" s="80">
        <f>IF(K32-(1.35+M32)&lt;0,0,K32-(1.35+M32))</f>
        <v>0</v>
      </c>
      <c r="O32"/>
      <c r="P32" s="56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>
      <c r="A33" s="56"/>
      <c r="B33" s="56"/>
      <c r="C33" s="56"/>
      <c r="D33" s="56"/>
      <c r="E33" s="56">
        <f>SUM(E30:E32)</f>
        <v>69.8</v>
      </c>
      <c r="F33" s="75"/>
      <c r="I33" s="54"/>
      <c r="K33" s="55"/>
      <c r="O33"/>
      <c r="P33" s="56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</row>
    <row r="34" spans="1:64">
      <c r="A34" s="124" t="s">
        <v>162</v>
      </c>
      <c r="B34" s="124"/>
      <c r="C34" s="124"/>
      <c r="D34" s="124"/>
      <c r="E34" s="75"/>
      <c r="H34" s="81" t="s">
        <v>163</v>
      </c>
      <c r="I34" s="54"/>
      <c r="K34" s="55"/>
      <c r="O34"/>
      <c r="P34" s="56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>
      <c r="A35" s="121" t="s">
        <v>164</v>
      </c>
      <c r="B35" s="121"/>
      <c r="C35" s="121"/>
      <c r="D35" s="66">
        <f>N13*0.15</f>
        <v>37.17</v>
      </c>
      <c r="H35" s="55" t="s">
        <v>165</v>
      </c>
      <c r="I35" s="54">
        <v>5</v>
      </c>
      <c r="J35" s="54" t="s">
        <v>166</v>
      </c>
      <c r="K35" s="55"/>
      <c r="O35"/>
      <c r="P35" s="56"/>
    </row>
    <row r="36" spans="1:64">
      <c r="A36" s="121" t="s">
        <v>167</v>
      </c>
      <c r="B36" s="121"/>
      <c r="C36" s="121"/>
      <c r="D36" s="66">
        <f>N13*0.05</f>
        <v>12.39</v>
      </c>
      <c r="H36" s="55" t="s">
        <v>168</v>
      </c>
      <c r="I36" s="82">
        <f>SUM(M28:M32)</f>
        <v>1.45</v>
      </c>
      <c r="J36" s="54" t="s">
        <v>169</v>
      </c>
      <c r="K36" s="55"/>
      <c r="O36"/>
      <c r="P36" s="56"/>
    </row>
    <row r="37" spans="1:64">
      <c r="A37" s="56"/>
      <c r="B37" s="56"/>
      <c r="C37" s="56"/>
      <c r="D37" s="56"/>
      <c r="E37" s="56"/>
      <c r="F37" s="56"/>
      <c r="G37" s="56"/>
      <c r="H37" s="55" t="s">
        <v>170</v>
      </c>
      <c r="I37" s="54">
        <v>5</v>
      </c>
      <c r="J37" s="54" t="s">
        <v>171</v>
      </c>
      <c r="K37" s="55"/>
      <c r="O37"/>
      <c r="P37" s="56"/>
    </row>
    <row r="38" spans="1:64">
      <c r="A38" s="77" t="s">
        <v>172</v>
      </c>
      <c r="B38" s="77"/>
      <c r="C38" s="77"/>
      <c r="D38" s="56"/>
      <c r="E38" s="56"/>
      <c r="F38" s="56"/>
      <c r="G38" s="56"/>
      <c r="H38" s="56"/>
      <c r="I38"/>
      <c r="J38"/>
      <c r="K38"/>
      <c r="L38"/>
      <c r="M38"/>
      <c r="N38"/>
      <c r="O38"/>
      <c r="P38" s="56"/>
    </row>
    <row r="39" spans="1:64">
      <c r="A39" s="83" t="s">
        <v>173</v>
      </c>
      <c r="B39" s="84">
        <v>218</v>
      </c>
      <c r="C39" s="85">
        <f>B39/1000</f>
        <v>0.218</v>
      </c>
      <c r="D39" s="56"/>
      <c r="E39" s="56"/>
      <c r="F39" s="56"/>
      <c r="G39" s="56"/>
      <c r="H39" s="56"/>
      <c r="I39"/>
      <c r="J39"/>
      <c r="K39"/>
      <c r="L39"/>
      <c r="M39"/>
      <c r="N39"/>
      <c r="O39"/>
      <c r="P39" s="56"/>
    </row>
    <row r="40" spans="1:64">
      <c r="A40" s="5" t="s">
        <v>174</v>
      </c>
      <c r="B40" s="86">
        <f>3.14*B39*B39/4</f>
        <v>37306.339999999997</v>
      </c>
      <c r="C40" s="86">
        <f>3.14*C39*C39/4</f>
        <v>3.73E-2</v>
      </c>
      <c r="D40" s="56"/>
      <c r="E40" s="56"/>
      <c r="F40" s="56"/>
      <c r="G40" s="56"/>
      <c r="H40" s="56"/>
      <c r="P40" s="56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</row>
    <row r="41" spans="1:64">
      <c r="A41" s="5"/>
      <c r="D41" s="56"/>
      <c r="E41" s="56"/>
      <c r="F41" s="56"/>
      <c r="G41" s="56"/>
      <c r="H41" s="56"/>
      <c r="P41" s="56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</row>
    <row r="42" spans="1:64">
      <c r="I42" s="56"/>
      <c r="L42" s="54"/>
      <c r="M42" s="54"/>
      <c r="N42" s="54"/>
      <c r="O42" s="56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</row>
    <row r="43" spans="1:64">
      <c r="I43" s="56"/>
      <c r="J43" s="56"/>
      <c r="K43" s="56"/>
      <c r="L43" s="56"/>
      <c r="M43" s="56"/>
      <c r="N43" s="56"/>
      <c r="O43" s="56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>
      <c r="I44" s="56"/>
      <c r="J44" s="77"/>
      <c r="K44" s="77"/>
      <c r="L44" s="77"/>
      <c r="M44" s="77"/>
      <c r="N44" s="77"/>
      <c r="O44" s="56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</row>
    <row r="45" spans="1:64">
      <c r="I45" s="87"/>
      <c r="J45" s="77"/>
      <c r="K45" s="77"/>
      <c r="L45" s="63"/>
      <c r="M45" s="63"/>
      <c r="N45" s="63"/>
      <c r="O45" s="56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</row>
    <row r="46" spans="1:64">
      <c r="I46" s="5"/>
      <c r="J46" s="74"/>
      <c r="K46" s="74"/>
      <c r="L46" s="54"/>
      <c r="M46" s="54"/>
      <c r="N46" s="54"/>
      <c r="O46" s="5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</row>
    <row r="47" spans="1:64">
      <c r="I47" s="5"/>
      <c r="J47" s="5"/>
      <c r="K47" s="5"/>
      <c r="L47" s="54"/>
      <c r="M47" s="54"/>
      <c r="N47" s="54"/>
      <c r="O47" s="56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</row>
    <row r="48" spans="1:64">
      <c r="I48" s="5"/>
      <c r="J48" s="74"/>
      <c r="K48" s="74"/>
      <c r="L48" s="54"/>
      <c r="M48" s="54"/>
      <c r="N48" s="54"/>
      <c r="O48" s="56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</row>
    <row r="49" spans="9:64">
      <c r="I49" s="5"/>
      <c r="J49" s="5"/>
      <c r="K49" s="5"/>
      <c r="L49" s="54"/>
      <c r="M49" s="54"/>
      <c r="N49" s="54"/>
      <c r="O49" s="56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9:64">
      <c r="I50" s="5"/>
      <c r="J50" s="74"/>
      <c r="K50" s="74"/>
      <c r="L50" s="54"/>
      <c r="M50" s="54"/>
      <c r="N50" s="54"/>
      <c r="O50" s="56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9:64">
      <c r="I51" s="5"/>
      <c r="J51" s="5"/>
      <c r="K51" s="5"/>
      <c r="L51" s="54"/>
      <c r="M51" s="54"/>
      <c r="N51" s="54"/>
      <c r="O51" s="56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</row>
    <row r="52" spans="9:64">
      <c r="I52" s="5"/>
      <c r="J52" s="74"/>
      <c r="K52" s="74"/>
      <c r="L52" s="54"/>
      <c r="M52" s="54"/>
      <c r="N52" s="54"/>
      <c r="O52" s="56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</row>
    <row r="53" spans="9:64">
      <c r="I53" s="5"/>
      <c r="J53" s="5"/>
      <c r="K53" s="5"/>
      <c r="L53" s="54"/>
      <c r="M53" s="54"/>
      <c r="N53" s="54"/>
      <c r="O53" s="56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</row>
    <row r="54" spans="9:64">
      <c r="I54" s="5"/>
      <c r="J54" s="74"/>
      <c r="K54" s="74"/>
      <c r="L54" s="54"/>
      <c r="M54" s="54"/>
      <c r="N54" s="54"/>
      <c r="O54" s="56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9:64">
      <c r="I55" s="5"/>
      <c r="J55" s="5"/>
      <c r="K55" s="5"/>
      <c r="L55" s="54"/>
      <c r="M55" s="54"/>
      <c r="N55" s="54"/>
      <c r="O55" s="56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</row>
    <row r="56" spans="9:64">
      <c r="I56" s="54"/>
      <c r="J56" s="5"/>
      <c r="K56" s="5"/>
      <c r="L56" s="54"/>
      <c r="M56" s="54"/>
      <c r="N56" s="54"/>
      <c r="O56" s="56"/>
    </row>
    <row r="57" spans="9:64">
      <c r="I57" s="54"/>
      <c r="J57" s="5"/>
      <c r="K57" s="5"/>
      <c r="L57" s="54"/>
      <c r="M57" s="54"/>
      <c r="N57" s="54"/>
      <c r="O57" s="56"/>
    </row>
  </sheetData>
  <mergeCells count="43">
    <mergeCell ref="A1:S1"/>
    <mergeCell ref="O3:O5"/>
    <mergeCell ref="P3:Q3"/>
    <mergeCell ref="R3:R5"/>
    <mergeCell ref="S3:S5"/>
    <mergeCell ref="A4:A6"/>
    <mergeCell ref="B4:B6"/>
    <mergeCell ref="C4:D5"/>
    <mergeCell ref="E4:G4"/>
    <mergeCell ref="H4:H5"/>
    <mergeCell ref="I4:I5"/>
    <mergeCell ref="J4:J5"/>
    <mergeCell ref="K4:K5"/>
    <mergeCell ref="L4:L5"/>
    <mergeCell ref="M4:M5"/>
    <mergeCell ref="N4:N5"/>
    <mergeCell ref="P4:P5"/>
    <mergeCell ref="Q4:Q5"/>
    <mergeCell ref="A13:H13"/>
    <mergeCell ref="J14:L14"/>
    <mergeCell ref="A15:D15"/>
    <mergeCell ref="H15:J15"/>
    <mergeCell ref="L15:N15"/>
    <mergeCell ref="A16:D16"/>
    <mergeCell ref="A17:D17"/>
    <mergeCell ref="A18:D18"/>
    <mergeCell ref="A19:D19"/>
    <mergeCell ref="A22:D22"/>
    <mergeCell ref="A23:D23"/>
    <mergeCell ref="A24:D24"/>
    <mergeCell ref="A25:D25"/>
    <mergeCell ref="H25:N25"/>
    <mergeCell ref="A26:D26"/>
    <mergeCell ref="H26:H27"/>
    <mergeCell ref="I26:K26"/>
    <mergeCell ref="L26:N26"/>
    <mergeCell ref="A35:C35"/>
    <mergeCell ref="A36:C36"/>
    <mergeCell ref="A29:D29"/>
    <mergeCell ref="A30:D30"/>
    <mergeCell ref="A31:D31"/>
    <mergeCell ref="A32:D32"/>
    <mergeCell ref="A34:D34"/>
  </mergeCells>
  <printOptions horizontalCentered="1"/>
  <pageMargins left="0.39374999999999999" right="0.39374999999999999" top="0.39374999999999999" bottom="0.39374999999999999" header="0.51180555555555496" footer="0.51180555555555496"/>
  <pageSetup paperSize="9" scale="45" pageOrder="overThenDown" orientation="landscape" useFirstPageNumber="1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22"/>
  <sheetViews>
    <sheetView zoomScale="85" zoomScaleNormal="85" workbookViewId="0">
      <selection activeCell="M15" sqref="M15"/>
    </sheetView>
  </sheetViews>
  <sheetFormatPr defaultColWidth="9.85546875" defaultRowHeight="15"/>
  <cols>
    <col min="1" max="1" width="11.42578125" style="56" customWidth="1"/>
    <col min="2" max="2" width="33.7109375" style="56" customWidth="1"/>
    <col min="3" max="3" width="16.28515625" style="56" customWidth="1"/>
    <col min="4" max="7" width="11.42578125" style="56" customWidth="1"/>
    <col min="8" max="8" width="16" style="56" customWidth="1"/>
    <col min="9" max="10" width="9.7109375" style="56" customWidth="1"/>
    <col min="11" max="11" width="16.42578125" style="56" customWidth="1"/>
    <col min="12" max="64" width="9.7109375" style="56" customWidth="1"/>
    <col min="1024" max="1024" width="11.5703125" customWidth="1"/>
  </cols>
  <sheetData>
    <row r="1" spans="1:12">
      <c r="A1" s="88" t="s">
        <v>175</v>
      </c>
      <c r="B1" s="89" t="s">
        <v>1</v>
      </c>
      <c r="C1" s="90"/>
      <c r="D1" s="91"/>
      <c r="E1" s="92"/>
      <c r="F1" s="90"/>
      <c r="G1" s="90"/>
    </row>
    <row r="2" spans="1:12">
      <c r="A2" s="93" t="s">
        <v>2</v>
      </c>
      <c r="B2" s="89" t="str">
        <f>Planilha_Orçamentária!B2</f>
        <v>REDES COLETORAS DE ESGOTO</v>
      </c>
      <c r="C2" s="94"/>
      <c r="D2" s="94"/>
      <c r="E2" s="94"/>
      <c r="F2" s="94"/>
      <c r="G2" s="94"/>
    </row>
    <row r="3" spans="1:12">
      <c r="A3" s="95" t="s">
        <v>4</v>
      </c>
      <c r="B3" s="96" t="str">
        <f>Planilha_Orçamentária!B3</f>
        <v>RUAS JOSÉ BONINI E OLIDAIR AMBRÓSIO</v>
      </c>
      <c r="C3" s="97"/>
      <c r="D3" s="97"/>
      <c r="E3" s="97"/>
      <c r="F3" s="97"/>
      <c r="G3" s="97"/>
    </row>
    <row r="4" spans="1:12">
      <c r="A4" s="131" t="str">
        <f>Planilha_Orçamentária!B4</f>
        <v>SINAPI  (dezembro / 2025) - com desoneração</v>
      </c>
      <c r="B4" s="131"/>
      <c r="C4" s="131"/>
      <c r="D4" s="131"/>
      <c r="E4" s="131"/>
      <c r="F4" s="131"/>
      <c r="G4" s="131"/>
    </row>
    <row r="5" spans="1:12" ht="15.75">
      <c r="A5" s="132" t="s">
        <v>176</v>
      </c>
      <c r="B5" s="132"/>
      <c r="C5" s="132"/>
      <c r="D5" s="132"/>
      <c r="E5" s="132"/>
      <c r="F5" s="132"/>
      <c r="G5" s="132"/>
    </row>
    <row r="6" spans="1:12">
      <c r="A6" s="133" t="s">
        <v>12</v>
      </c>
      <c r="B6" s="134" t="s">
        <v>177</v>
      </c>
      <c r="C6" s="98" t="s">
        <v>178</v>
      </c>
      <c r="D6" s="135" t="s">
        <v>179</v>
      </c>
      <c r="E6" s="135"/>
      <c r="F6" s="135" t="s">
        <v>180</v>
      </c>
      <c r="G6" s="135"/>
    </row>
    <row r="7" spans="1:12">
      <c r="A7" s="133"/>
      <c r="B7" s="133"/>
      <c r="C7" s="98" t="s">
        <v>146</v>
      </c>
      <c r="D7" s="99" t="s">
        <v>181</v>
      </c>
      <c r="E7" s="99" t="s">
        <v>146</v>
      </c>
      <c r="F7" s="99"/>
      <c r="G7" s="99"/>
    </row>
    <row r="8" spans="1:12">
      <c r="A8" s="100" t="s">
        <v>21</v>
      </c>
      <c r="B8" s="101" t="str">
        <f>Planilha_Orçamentária!B8</f>
        <v>SERVIÇOS PRELIMINARES ESGOTO</v>
      </c>
      <c r="C8" s="102">
        <f>Planilha_Orçamentária!I8</f>
        <v>33059.93</v>
      </c>
      <c r="D8" s="103">
        <v>55</v>
      </c>
      <c r="E8" s="103">
        <f>+$C8*D8/100</f>
        <v>18182.96</v>
      </c>
      <c r="F8" s="103">
        <v>45</v>
      </c>
      <c r="G8" s="103">
        <f>+$C8*F8/100</f>
        <v>14876.97</v>
      </c>
      <c r="H8" s="104"/>
      <c r="I8" s="104"/>
      <c r="J8" s="104"/>
      <c r="K8" s="104"/>
      <c r="L8" s="104"/>
    </row>
    <row r="9" spans="1:12">
      <c r="A9" s="100" t="s">
        <v>33</v>
      </c>
      <c r="B9" s="105" t="str">
        <f>Planilha_Orçamentária!B12</f>
        <v>MOVIMENTO DE TERRA</v>
      </c>
      <c r="C9" s="106">
        <f>Planilha_Orçamentária!I12</f>
        <v>24283.78</v>
      </c>
      <c r="D9" s="103">
        <v>50</v>
      </c>
      <c r="E9" s="103">
        <f>+$C9*D9/100-0.01</f>
        <v>12141.88</v>
      </c>
      <c r="F9" s="103">
        <v>50</v>
      </c>
      <c r="G9" s="103">
        <f>+$C9*F9/100</f>
        <v>12141.89</v>
      </c>
      <c r="H9" s="104"/>
      <c r="I9" s="104"/>
      <c r="J9" s="104"/>
      <c r="K9" s="104"/>
    </row>
    <row r="10" spans="1:12">
      <c r="A10" s="100" t="s">
        <v>60</v>
      </c>
      <c r="B10" s="105" t="str">
        <f>Planilha_Orçamentária!B21</f>
        <v>TUBULAÇÕES E ESTRUTURAS</v>
      </c>
      <c r="C10" s="106">
        <f>Planilha_Orçamentária!I21</f>
        <v>82642.17</v>
      </c>
      <c r="D10" s="103">
        <v>50</v>
      </c>
      <c r="E10" s="103">
        <f>+$C10*D10/100</f>
        <v>41321.089999999997</v>
      </c>
      <c r="F10" s="103">
        <v>50</v>
      </c>
      <c r="G10" s="103">
        <f>+$C10*F10/100</f>
        <v>41321.089999999997</v>
      </c>
      <c r="H10" s="104"/>
      <c r="I10" s="104"/>
      <c r="J10" s="104"/>
      <c r="K10" s="104"/>
    </row>
    <row r="11" spans="1:12">
      <c r="A11" s="100" t="s">
        <v>74</v>
      </c>
      <c r="B11" s="105" t="str">
        <f>Planilha_Orçamentária!B26</f>
        <v>RECOMPOSIÇÃO ASFÁLTICA</v>
      </c>
      <c r="C11" s="106">
        <f>Planilha_Orçamentária!I26</f>
        <v>55225.79</v>
      </c>
      <c r="D11" s="103">
        <v>50</v>
      </c>
      <c r="E11" s="103">
        <f>+$C11*D11/100</f>
        <v>27612.9</v>
      </c>
      <c r="F11" s="103">
        <v>50</v>
      </c>
      <c r="G11" s="103">
        <f>+$C11*F11/100-0.01</f>
        <v>27612.89</v>
      </c>
      <c r="H11" s="104"/>
      <c r="I11" s="104"/>
      <c r="J11" s="104"/>
    </row>
    <row r="12" spans="1:12">
      <c r="A12" s="99"/>
      <c r="B12" s="107" t="s">
        <v>182</v>
      </c>
      <c r="C12" s="108"/>
      <c r="D12" s="109">
        <f>+E12/$C$13*100</f>
        <v>50.85</v>
      </c>
      <c r="E12" s="109">
        <f>SUM(E8:E11)</f>
        <v>99258.83</v>
      </c>
      <c r="F12" s="109">
        <f>+G12/$C$13*100</f>
        <v>49.15</v>
      </c>
      <c r="G12" s="109">
        <f>SUM(G8:G11)</f>
        <v>95952.84</v>
      </c>
      <c r="H12" s="104"/>
      <c r="I12" s="104"/>
      <c r="J12" s="104"/>
    </row>
    <row r="13" spans="1:12">
      <c r="A13" s="99"/>
      <c r="B13" s="107" t="s">
        <v>183</v>
      </c>
      <c r="C13" s="110">
        <f>SUM(C8:C11)</f>
        <v>195211.67</v>
      </c>
      <c r="D13" s="109">
        <f>+D12</f>
        <v>50.85</v>
      </c>
      <c r="E13" s="109">
        <f>+E12</f>
        <v>99258.83</v>
      </c>
      <c r="F13" s="109">
        <f>D13+F12</f>
        <v>100</v>
      </c>
      <c r="G13" s="109">
        <f>E13+G12</f>
        <v>195211.67</v>
      </c>
      <c r="H13" s="104"/>
      <c r="I13" s="104"/>
      <c r="J13" s="104"/>
    </row>
    <row r="14" spans="1:12">
      <c r="A14" s="111"/>
      <c r="B14" s="112"/>
      <c r="C14" s="112"/>
      <c r="D14" s="112"/>
      <c r="E14" s="112"/>
      <c r="F14" s="112"/>
      <c r="G14" s="112"/>
    </row>
    <row r="15" spans="1:12">
      <c r="A15" s="111"/>
      <c r="B15" s="112"/>
      <c r="C15" s="112"/>
      <c r="D15" s="112"/>
      <c r="E15" s="112"/>
      <c r="F15" s="112"/>
      <c r="G15" s="112"/>
    </row>
    <row r="16" spans="1:12">
      <c r="A16" s="111"/>
      <c r="B16" s="112"/>
      <c r="C16" s="112"/>
      <c r="D16" s="112"/>
      <c r="E16" s="112"/>
      <c r="F16" s="112"/>
      <c r="G16" s="112"/>
    </row>
    <row r="17" spans="1:7">
      <c r="A17" s="111"/>
      <c r="B17" s="112"/>
      <c r="C17" s="112"/>
      <c r="D17" s="112"/>
      <c r="E17" s="112"/>
      <c r="F17" s="112"/>
      <c r="G17" s="112"/>
    </row>
    <row r="18" spans="1:7">
      <c r="A18" s="111"/>
      <c r="B18" s="112"/>
      <c r="C18" s="112"/>
      <c r="D18" s="112"/>
      <c r="E18" s="112"/>
      <c r="F18" s="112"/>
      <c r="G18" s="112"/>
    </row>
    <row r="19" spans="1:7">
      <c r="A19" s="111"/>
      <c r="B19" s="112"/>
      <c r="C19" s="112"/>
      <c r="D19" s="112"/>
      <c r="E19" s="112"/>
      <c r="F19" s="112"/>
      <c r="G19" s="112"/>
    </row>
    <row r="20" spans="1:7">
      <c r="A20" s="111"/>
      <c r="B20" s="112"/>
      <c r="C20" s="112"/>
      <c r="D20" s="112"/>
      <c r="E20" s="112"/>
      <c r="F20" s="113" t="s">
        <v>184</v>
      </c>
    </row>
    <row r="21" spans="1:7">
      <c r="A21" s="111"/>
      <c r="B21" s="112"/>
      <c r="C21" s="112"/>
      <c r="D21" s="112"/>
      <c r="E21" s="112"/>
      <c r="F21" s="113" t="s">
        <v>185</v>
      </c>
    </row>
    <row r="22" spans="1:7">
      <c r="A22" s="111"/>
      <c r="B22" s="112"/>
      <c r="C22" s="112"/>
      <c r="D22" s="112"/>
      <c r="E22" s="112"/>
      <c r="F22" s="112"/>
      <c r="G22" s="112"/>
    </row>
  </sheetData>
  <mergeCells count="6">
    <mergeCell ref="A4:G4"/>
    <mergeCell ref="A5:G5"/>
    <mergeCell ref="A6:A7"/>
    <mergeCell ref="B6:B7"/>
    <mergeCell ref="D6:E6"/>
    <mergeCell ref="F6:G6"/>
  </mergeCells>
  <printOptions horizontalCentered="1"/>
  <pageMargins left="0" right="0" top="0" bottom="0" header="0.51180555555555496" footer="0.51180555555555496"/>
  <pageSetup paperSize="9" scale="102" pageOrder="overThenDown" orientation="landscape" useFirstPageNumber="1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C4E4FB13D540408BEB4DE557BB2937" ma:contentTypeVersion="19" ma:contentTypeDescription="Create a new document." ma:contentTypeScope="" ma:versionID="d40cca8910a5f6c283cd4900392ff900">
  <xsd:schema xmlns:xsd="http://www.w3.org/2001/XMLSchema" xmlns:xs="http://www.w3.org/2001/XMLSchema" xmlns:p="http://schemas.microsoft.com/office/2006/metadata/properties" xmlns:ns3="ac2cd256-4c81-411a-8326-a6ddecb5903b" xmlns:ns4="29ed724f-646a-4a4f-99fe-43b2035e578b" targetNamespace="http://schemas.microsoft.com/office/2006/metadata/properties" ma:root="true" ma:fieldsID="2657da3423a405f1af0e1a13f0bed455" ns3:_="" ns4:_="">
    <xsd:import namespace="ac2cd256-4c81-411a-8326-a6ddecb5903b"/>
    <xsd:import namespace="29ed724f-646a-4a4f-99fe-43b2035e57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2cd256-4c81-411a-8326-a6ddecb590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d724f-646a-4a4f-99fe-43b2035e578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c2cd256-4c81-411a-8326-a6ddecb5903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E76A0-C09D-4D75-B8A3-494039AD62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2cd256-4c81-411a-8326-a6ddecb5903b"/>
    <ds:schemaRef ds:uri="29ed724f-646a-4a4f-99fe-43b2035e57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416D83-38F1-4837-B585-ABF7574873B6}">
  <ds:schemaRefs>
    <ds:schemaRef ds:uri="http://purl.org/dc/dcmitype/"/>
    <ds:schemaRef ds:uri="http://purl.org/dc/elements/1.1/"/>
    <ds:schemaRef ds:uri="ac2cd256-4c81-411a-8326-a6ddecb5903b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29ed724f-646a-4a4f-99fe-43b2035e578b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073F46D-7EDE-4BE7-8826-1CB322698E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Planilha_Orçamentária</vt:lpstr>
      <vt:lpstr>Quantitativos-redes_</vt:lpstr>
      <vt:lpstr>CRONOGRAMA</vt:lpstr>
      <vt:lpstr>Planilha_Orçamentária!Print_Area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Roberto Sarni</dc:creator>
  <dc:description/>
  <cp:lastModifiedBy>Gustavo Antonio Falcão de Souza</cp:lastModifiedBy>
  <cp:revision>270</cp:revision>
  <cp:lastPrinted>2026-02-19T14:48:45Z</cp:lastPrinted>
  <dcterms:created xsi:type="dcterms:W3CDTF">2021-03-12T10:23:25Z</dcterms:created>
  <dcterms:modified xsi:type="dcterms:W3CDTF">2026-02-19T14:48:48Z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0x010100DCC4E4FB13D540408BEB4DE557BB2937</vt:lpwstr>
  </property>
</Properties>
</file>