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Planilha_Orçamentária" sheetId="1" state="visible" r:id="rId2"/>
    <sheet name="Quantitativos-redes_" sheetId="2" state="visible" r:id="rId3"/>
    <sheet name="CRONOGRAMA" sheetId="3" state="visible" r:id="rId4"/>
  </sheets>
  <definedNames>
    <definedName function="false" hidden="false" localSheetId="0" name="Excel_BuiltIn_Print_Area" vbProcedure="false">"""""""['file:///C:/Users/gafsouza.SAEMASSTZ/OneDrive%20-%20SAEMAS/Licita%C3%A7%C3%B5es/2)%20Obras%20e%20servi%C3%A7os%20de%20engenharia/Drenagem%20-%20Novo/Or%C3%A7amento%20Drenagem%20e%20Esgoto%20Fioravante%20Modesto.xls'#$''.$A$1:.$G$88]"""""""</definedName>
    <definedName function="false" hidden="false" localSheetId="0" name="Excel_BuiltIn_Print_Titles" vbProcedure="false">"""""""['file:///C:/Users/gafsouza.SAEMASSTZ/OneDrive%20-%20SAEMAS/Licita%C3%A7%C3%B5es/2)%20Obras%20e%20servi%C3%A7os%20de%20engenharia/Drenagem%20-%20Novo/Or%C3%A7amento%20Drenagem%20e%20Esgoto%20Fioravante%20Modesto.xls'#$''.$A$1:.$AMJ$7]"""""""</definedName>
    <definedName function="false" hidden="false" localSheetId="0" name="Excel_BuiltIn__FilterDatabase_1" vbProcedure="false">#REF!</definedName>
    <definedName function="false" hidden="false" localSheetId="0" name="Print_Area" vbProcedure="false">Planilha_Orçamentária!$A$1:$I$35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<sst xmlns="http://schemas.openxmlformats.org/spreadsheetml/2006/main" count="280" uniqueCount="186">
  <si>
    <t xml:space="preserve">Cliente:</t>
  </si>
  <si>
    <t xml:space="preserve">SERVIÇO AUTÔNOMO DE ÁGUA, ESGOTO E MEIO AMBIENTE DE SERTÃOZINHO - SAEMAS</t>
  </si>
  <si>
    <t xml:space="preserve">Objeto:</t>
  </si>
  <si>
    <t xml:space="preserve">REDES COLETORAS DE ESGOTO</t>
  </si>
  <si>
    <t xml:space="preserve">Local:</t>
  </si>
  <si>
    <t xml:space="preserve">RUAS JOSÉ BONINI E OLIDAIR AMBRÓSIO</t>
  </si>
  <si>
    <t xml:space="preserve">Fontes</t>
  </si>
  <si>
    <t xml:space="preserve">SINAPI  (dezembro / 2025) - com desoneração</t>
  </si>
  <si>
    <t xml:space="preserve">BDI Serviço:</t>
  </si>
  <si>
    <t xml:space="preserve">BDI Materiais</t>
  </si>
  <si>
    <t xml:space="preserve">P L A N I L H A   D E   Q U A N T I D A D E S   E   P R E Ç O S</t>
  </si>
  <si>
    <t xml:space="preserve">INTERCEPTOR SANTA MARIA</t>
  </si>
  <si>
    <t xml:space="preserve">Item</t>
  </si>
  <si>
    <t xml:space="preserve">Discriminação dos Serviços</t>
  </si>
  <si>
    <t xml:space="preserve">FONTE</t>
  </si>
  <si>
    <t xml:space="preserve">CÓDIGO</t>
  </si>
  <si>
    <t xml:space="preserve">Un.</t>
  </si>
  <si>
    <t xml:space="preserve">Quant. Licitada</t>
  </si>
  <si>
    <t xml:space="preserve">Preço
Unitário</t>
  </si>
  <si>
    <t xml:space="preserve">Preço
Unitário+BDI</t>
  </si>
  <si>
    <t xml:space="preserve">Preço
Total</t>
  </si>
  <si>
    <t xml:space="preserve">1</t>
  </si>
  <si>
    <t xml:space="preserve">SERVIÇOS PRELIMINARES ESGOTO</t>
  </si>
  <si>
    <t xml:space="preserve">1.1</t>
  </si>
  <si>
    <t xml:space="preserve">LOCAÇÃO DE REDE DE ESGOTO</t>
  </si>
  <si>
    <t xml:space="preserve">SINAPI</t>
  </si>
  <si>
    <t xml:space="preserve">m</t>
  </si>
  <si>
    <t xml:space="preserve">1.2</t>
  </si>
  <si>
    <t xml:space="preserve">CAMINHÃO PIPA 10.000 L TRUCADO, PESO BRUTO TOTAL 23.000 KG, CARGA ÚTIL MÁXIMA 15.935 KG, DISTÂNCIA ENTRE EIXOS 4,8 M, POTÊNCIA 230 CV, INCLUSIVE TANQUE DE AÇO PARA TRANSPORTE DE ÁGUA - CHP DIURNO. AF_06/2014</t>
  </si>
  <si>
    <t xml:space="preserve">h</t>
  </si>
  <si>
    <t xml:space="preserve">1.3</t>
  </si>
  <si>
    <t xml:space="preserve">PLACA DE OBRA (PARA CONSTRUCAO CIVIL) EM CHAPA GALVANIZADA *N. 22*, ADESIVADA</t>
  </si>
  <si>
    <t xml:space="preserve">m²</t>
  </si>
  <si>
    <t xml:space="preserve">2</t>
  </si>
  <si>
    <t xml:space="preserve">MOVIMENTO DE TERRA</t>
  </si>
  <si>
    <t xml:space="preserve">2.1</t>
  </si>
  <si>
    <t xml:space="preserve">ESCAVAÇÃO MECANIZADA DE VALA COM PROF. ATÉ 1,5 M (MÉDIA MONTANTE E JUSANTE/UMA COMPOSIÇÃO POR TRECHO), ESCAVADEIRA (0,8 M3), LARG. MENOR QUE 1,5 M, EM SOLO DE 1A CATEGORIA, EM LOCAIS COM ALTO NÍVEL DE INTERFERÊNCIA. AF_09/2024</t>
  </si>
  <si>
    <t xml:space="preserve">m3</t>
  </si>
  <si>
    <t xml:space="preserve">2.2</t>
  </si>
  <si>
    <t xml:space="preserve">ESCAVAÇÃO MECANIZADA DE VALA COM PROF. MAIOR QUE 1,5 M ATÉ 3,0 M (MÉDIA MONTANTE E JUSANTE/UMA COMPOSIÇÃO POR TRECHO), ESCAVADEIRA (0,8 M3), LARGURA ATÉ 1,5 M, EM SOLO DE 1A CATEGORIA, EM LOCAIS COM ALTO NÍVEL DE INTERFERÊNCIA. AF_09/2024</t>
  </si>
  <si>
    <t xml:space="preserve">m³</t>
  </si>
  <si>
    <t xml:space="preserve">2.3</t>
  </si>
  <si>
    <t xml:space="preserve">ESCORAMENTO DE VALA, TIPO DESCONTÍNUO, COM PROFUNDIDADE DE 1,5 A 3,0 M, LARGURA MAIOR OU IGUAL A 1,5 M E MENOR QUE 2,5 M. AF_08/2020 </t>
  </si>
  <si>
    <t xml:space="preserve">m2</t>
  </si>
  <si>
    <t xml:space="preserve">2.4</t>
  </si>
  <si>
    <t xml:space="preserve"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</si>
  <si>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 xml:space="preserve">93368-SINAPI</t>
  </si>
  <si>
    <t xml:space="preserve">2.5</t>
  </si>
  <si>
    <t xml:space="preserve"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</si>
  <si>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 xml:space="preserve">2.6</t>
  </si>
  <si>
    <t xml:space="preserve">CARGA, MANOBRA E DESCARGA DE SOLOS E MATERIAIS GRANULARES EM CAMINHÃO BASCULANTE 6 M³ - CARGA COM PÁ CARREGADEIRA (CAÇAMBA DE 1,7 A 2,8 M³ / 128 HP) E DESCARGA LIVRE (UNIDADE: M3). AF_07/2020</t>
  </si>
  <si>
    <t xml:space="preserve">100973-SINAPI</t>
  </si>
  <si>
    <t xml:space="preserve">2.7</t>
  </si>
  <si>
    <t xml:space="preserve">TRANSPORTE COM CAMINHÃO BASCULANTE DE 6 M³, EM VIA URBANA PAVIMENTADA, DMT ATÉ 30 KM (UNIDADE: M3XKM). AF_07/2020</t>
  </si>
  <si>
    <t xml:space="preserve">97914-SINAPI</t>
  </si>
  <si>
    <t xml:space="preserve">m3xKm</t>
  </si>
  <si>
    <t xml:space="preserve">2.8</t>
  </si>
  <si>
    <t xml:space="preserve">DEPOSIÇÃO DE ENTULHO P/ RCC CADASTRADO NA CIDADE</t>
  </si>
  <si>
    <t xml:space="preserve">Orçamento</t>
  </si>
  <si>
    <t xml:space="preserve">ton.</t>
  </si>
  <si>
    <t xml:space="preserve">3</t>
  </si>
  <si>
    <t xml:space="preserve">TUBULAÇÕES E ESTRUTURAS</t>
  </si>
  <si>
    <t xml:space="preserve">3.1</t>
  </si>
  <si>
    <t xml:space="preserve">TUBO DE PVC CORRUGADO DE DUPLA PAREDE PARA REDE COLETORA DE ESGOTO, DN 250 MM, JUNTA ELÁSTICA FORNECIMENTO E ASSENTAMENTO. AF_01/2021</t>
  </si>
  <si>
    <t xml:space="preserve">3.2</t>
  </si>
  <si>
    <t xml:space="preserve">BASE PARA POÇO DE VISITA CIRCULAR PARA ESGOTO, EM CONCRETO PRÉ-MOLDADO, DIÂMETRO INTERNO = 0,80 M, PROFUNDIDADE = 1,35 M, EXCLUINDO TAMPÃO.AF_12/2020_PA</t>
  </si>
  <si>
    <t xml:space="preserve">97978-SINAPI</t>
  </si>
  <si>
    <t xml:space="preserve">un.</t>
  </si>
  <si>
    <t xml:space="preserve">3.3</t>
  </si>
  <si>
    <t xml:space="preserve">CHAMINÉ CIRCULAR PARA POÇO DE VISITA PARA ESGOTO, EM CONCRETO PRÉ-MOLDADO, DIÂMETRO INTERNO = 0,6 M. AF_12/2020</t>
  </si>
  <si>
    <t xml:space="preserve">98050-SINAPI</t>
  </si>
  <si>
    <t xml:space="preserve">3.4</t>
  </si>
  <si>
    <t xml:space="preserve">TAMPAO FOFO SIMPLES COM BASE, CLASSE D400 CARGA MAX 40 T, REDONDO TAMPA 600 MM, REDE PLUVIAL/ESGOTO</t>
  </si>
  <si>
    <t xml:space="preserve">6240-SINAPI</t>
  </si>
  <si>
    <t xml:space="preserve">4</t>
  </si>
  <si>
    <t xml:space="preserve">RECOMPOSIÇÃO ASFÁLTICA</t>
  </si>
  <si>
    <t xml:space="preserve">4.1</t>
  </si>
  <si>
    <t xml:space="preserve">DEMOLIÇÃO PARCIAL DE PAVIMENTO ASFÁLTICO, DE FORMA MECANIZADA, SEM REAPROVEITAMENTO. AF_12/2017</t>
  </si>
  <si>
    <t xml:space="preserve">97636-SINAPI</t>
  </si>
  <si>
    <t xml:space="preserve">4.2</t>
  </si>
  <si>
    <t xml:space="preserve">4.3</t>
  </si>
  <si>
    <t xml:space="preserve">4.4</t>
  </si>
  <si>
    <t xml:space="preserve">4.5</t>
  </si>
  <si>
    <t xml:space="preserve">EXECUÇÃO E COMPACTAÇÃO DE BASE E OU SUB BASE PARA PAVIMENTAÇÃO DE BRITA GRADUADA SIMPLES - EXCLUSIVE CARGA E TRANSPORTE. AF_11/2019</t>
  </si>
  <si>
    <t xml:space="preserve">96396-SINAPI</t>
  </si>
  <si>
    <t xml:space="preserve">4.6</t>
  </si>
  <si>
    <t xml:space="preserve">EXECUÇÃO DE PAVIMENTO COM APLICAÇÃO DE CONCRETO ASFÁLTICO, CAMADA DE ROLAMENTO - EXCLUSIVE CARGA E TRANSPORTE. AF_11/2019</t>
  </si>
  <si>
    <t xml:space="preserve">95995-SINAPI</t>
  </si>
  <si>
    <t xml:space="preserve">4.7</t>
  </si>
  <si>
    <t xml:space="preserve">TRANSPORTE COM CAMINHÃO TANQUE DE TRANSPORTE DE MATERIAL ASFÁLTICO DE 20000 L, EM VIA URBANA PAVIMENTADA, DMT ATÉ 30KM (UNIDADE: TXKM). AF_07/2020</t>
  </si>
  <si>
    <t xml:space="preserve">102332-SINAPI</t>
  </si>
  <si>
    <t xml:space="preserve">TxKm</t>
  </si>
  <si>
    <t xml:space="preserve">4.8</t>
  </si>
  <si>
    <t xml:space="preserve">TRANSPORTE COM CAMINHÃO TANQUE DE TRANSPORTE DE MATERIAL ASFÁLTICO DE 20000 L, EM VIA URBANA PAVIMENTADA, ADICIONAL PARA DMT EXCEDENTE A 30 KM (UNIDADE: TXKM). AF_07/2020</t>
  </si>
  <si>
    <t xml:space="preserve">102333-SINAPI</t>
  </si>
  <si>
    <t xml:space="preserve">TOTAL OBRA</t>
  </si>
  <si>
    <t xml:space="preserve">CÁLCULO QUANTITATIVOS – REDES COLETORAS DE ESGOTO</t>
  </si>
  <si>
    <t xml:space="preserve">Volume Escavação</t>
  </si>
  <si>
    <t xml:space="preserve">Volumes bota fora</t>
  </si>
  <si>
    <t xml:space="preserve">Volume Aterro (escavado-tubulação)</t>
  </si>
  <si>
    <t xml:space="preserve">Escoramento Vala</t>
  </si>
  <si>
    <t xml:space="preserve">Trecho</t>
  </si>
  <si>
    <t xml:space="preserve">Rua</t>
  </si>
  <si>
    <t xml:space="preserve">Início</t>
  </si>
  <si>
    <t xml:space="preserve">Profundidades</t>
  </si>
  <si>
    <t xml:space="preserve">Profundidade Média</t>
  </si>
  <si>
    <t xml:space="preserve">Distância</t>
  </si>
  <si>
    <t xml:space="preserve">Diâ.Tubulação</t>
  </si>
  <si>
    <t xml:space="preserve">Classe</t>
  </si>
  <si>
    <t xml:space="preserve">Largura Vala</t>
  </si>
  <si>
    <t xml:space="preserve">Extensão Asfalto</t>
  </si>
  <si>
    <t xml:space="preserve">Área Asfalto</t>
  </si>
  <si>
    <t xml:space="preserve">Volume camada pav.demolido</t>
  </si>
  <si>
    <t xml:space="preserve">Volume tubulação</t>
  </si>
  <si>
    <t xml:space="preserve">Montante</t>
  </si>
  <si>
    <t xml:space="preserve">Jusante</t>
  </si>
  <si>
    <t xml:space="preserve">Justante</t>
  </si>
  <si>
    <t xml:space="preserve">mm</t>
  </si>
  <si>
    <t xml:space="preserve">1-1</t>
  </si>
  <si>
    <t xml:space="preserve">José Bonini</t>
  </si>
  <si>
    <t xml:space="preserve">PVE</t>
  </si>
  <si>
    <t xml:space="preserve">PV1</t>
  </si>
  <si>
    <t xml:space="preserve">PVC OCRE</t>
  </si>
  <si>
    <t xml:space="preserve">1-2</t>
  </si>
  <si>
    <t xml:space="preserve">PV2</t>
  </si>
  <si>
    <t xml:space="preserve">1-3</t>
  </si>
  <si>
    <t xml:space="preserve">PV3</t>
  </si>
  <si>
    <t xml:space="preserve">2-1</t>
  </si>
  <si>
    <t xml:space="preserve">Olidair Ambrósio</t>
  </si>
  <si>
    <t xml:space="preserve">PV4</t>
  </si>
  <si>
    <t xml:space="preserve">2-2</t>
  </si>
  <si>
    <t xml:space="preserve">PV5</t>
  </si>
  <si>
    <t xml:space="preserve">TOTAIS</t>
  </si>
  <si>
    <t xml:space="preserve">Escavação de vala (m³)</t>
  </si>
  <si>
    <t xml:space="preserve">Volume</t>
  </si>
  <si>
    <t xml:space="preserve">Detalhamento Extensões Assentamento</t>
  </si>
  <si>
    <t xml:space="preserve">Detalhamanto Recomposição Asfáltica</t>
  </si>
  <si>
    <t xml:space="preserve">Até 1,5 m</t>
  </si>
  <si>
    <t xml:space="preserve">Diâmetro</t>
  </si>
  <si>
    <t xml:space="preserve">Extensão – m</t>
  </si>
  <si>
    <t xml:space="preserve">Área-m²</t>
  </si>
  <si>
    <t xml:space="preserve">Volume (m³)</t>
  </si>
  <si>
    <t xml:space="preserve">De 1,5 a 3,0m</t>
  </si>
  <si>
    <t xml:space="preserve">200 mm</t>
  </si>
  <si>
    <t xml:space="preserve">Acima de 3,0m</t>
  </si>
  <si>
    <t xml:space="preserve">Dr.Olidair Ambrósio</t>
  </si>
  <si>
    <t xml:space="preserve">Total</t>
  </si>
  <si>
    <t xml:space="preserve">Reaterro de vala (m³)</t>
  </si>
  <si>
    <t xml:space="preserve">Calculo dos Quantitativos Poços de Visita</t>
  </si>
  <si>
    <t xml:space="preserve">Dados Projeto</t>
  </si>
  <si>
    <t xml:space="preserve">Considerando tabela Sinapi</t>
  </si>
  <si>
    <t xml:space="preserve">Pvs</t>
  </si>
  <si>
    <t xml:space="preserve">Diâmetro rede</t>
  </si>
  <si>
    <t xml:space="preserve">Profundidade</t>
  </si>
  <si>
    <t xml:space="preserve">Base PV (até 1,35 m)</t>
  </si>
  <si>
    <t xml:space="preserve">Chaminé (até 1,0m)</t>
  </si>
  <si>
    <t xml:space="preserve">Acréscimo base</t>
  </si>
  <si>
    <t xml:space="preserve">Escoramento vala (m²)</t>
  </si>
  <si>
    <t xml:space="preserve">Área</t>
  </si>
  <si>
    <t xml:space="preserve">Até 3,0m</t>
  </si>
  <si>
    <t xml:space="preserve">De 3 a 4,5m</t>
  </si>
  <si>
    <t xml:space="preserve">Acima de 4,5m</t>
  </si>
  <si>
    <t xml:space="preserve">Reposição Pavimento (m³)</t>
  </si>
  <si>
    <t xml:space="preserve">Resumo dos Quantitativos PVs</t>
  </si>
  <si>
    <t xml:space="preserve">Base (esp.0,15m)</t>
  </si>
  <si>
    <t xml:space="preserve">Base PV</t>
  </si>
  <si>
    <t xml:space="preserve">unidades</t>
  </si>
  <si>
    <t xml:space="preserve">Capa (0,05)</t>
  </si>
  <si>
    <t xml:space="preserve">Chaminé</t>
  </si>
  <si>
    <t xml:space="preserve">metros</t>
  </si>
  <si>
    <t xml:space="preserve">Tampões</t>
  </si>
  <si>
    <t xml:space="preserve">peças</t>
  </si>
  <si>
    <t xml:space="preserve">Tubulação</t>
  </si>
  <si>
    <t xml:space="preserve">Diâmetro externo</t>
  </si>
  <si>
    <t xml:space="preserve">Área Seção</t>
  </si>
  <si>
    <t xml:space="preserve">                                                            </t>
  </si>
  <si>
    <t xml:space="preserve">C R O N O G R A M A   F Í S I C O   -   F I N A N C E I R O</t>
  </si>
  <si>
    <t xml:space="preserve">Descrição</t>
  </si>
  <si>
    <t xml:space="preserve">Preço</t>
  </si>
  <si>
    <t xml:space="preserve">01º MÊS</t>
  </si>
  <si>
    <t xml:space="preserve">02º MÊS</t>
  </si>
  <si>
    <t xml:space="preserve">%</t>
  </si>
  <si>
    <t xml:space="preserve">Total Mensal</t>
  </si>
  <si>
    <t xml:space="preserve">Total Acumulado</t>
  </si>
  <si>
    <t xml:space="preserve">ENG. ALEX FABIAN CARDIN DE SOUSA</t>
  </si>
  <si>
    <t xml:space="preserve">CREA nº 5060900434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</si>
</sst>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&quot; R$ &quot;#,##0.00\ ;&quot;-R$ &quot;#,##0.00\ ;&quot; R$ -&quot;00\ ;@\ "/>
    <numFmt numFmtId="166" formatCode="#,##0.00\ ;&quot; (&quot;#,##0.00\);\-00\ ;@\ "/>
    <numFmt numFmtId="167" formatCode="#,##0.00\ ;\-#,##0.00\ ;\-#\ ;@\ "/>
    <numFmt numFmtId="168" formatCode="@"/>
    <numFmt numFmtId="169" formatCode="#,##0.00"/>
    <numFmt numFmtId="170" formatCode="0.00%"/>
    <numFmt numFmtId="171" formatCode="#,##0.00\ ;&quot; (&quot;#,##0.00\);\-#\ ;@\ "/>
    <numFmt numFmtId="172" formatCode="0.00"/>
    <numFmt numFmtId="173" formatCode="General"/>
    <numFmt numFmtId="174" formatCode="0.000"/>
    <numFmt numFmtId="175" formatCode="0.0000"/>
  </numFmts>
  <fonts count="3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2"/>
      <family val="0"/>
      <charset val="1"/>
    </font>
    <font>
      <sz val="11"/>
      <color rgb="FF000000"/>
      <name val="Times New Roman"/>
      <family val="1"/>
      <charset val="1"/>
    </font>
    <font>
      <b val="true"/>
      <i val="true"/>
      <u val="single"/>
      <sz val="11"/>
      <color rgb="FF000000"/>
      <name val="Liberation Sans1"/>
      <family val="0"/>
      <charset val="1"/>
    </font>
    <font>
      <b val="true"/>
      <sz val="24"/>
      <color rgb="FF000000"/>
      <name val="Liberation Sans1"/>
      <family val="0"/>
      <charset val="1"/>
    </font>
    <font>
      <sz val="8"/>
      <color rgb="FF000000"/>
      <name val="Arial1"/>
      <family val="0"/>
      <charset val="1"/>
    </font>
    <font>
      <sz val="11"/>
      <color rgb="FF000000"/>
      <name val="Liberation Sans1"/>
      <family val="0"/>
      <charset val="1"/>
    </font>
    <font>
      <sz val="10"/>
      <color rgb="FF000000"/>
      <name val="Arial1"/>
      <family val="0"/>
      <charset val="1"/>
    </font>
    <font>
      <b val="true"/>
      <sz val="10"/>
      <color rgb="FF000000"/>
      <name val="Arial1"/>
      <family val="0"/>
      <charset val="1"/>
    </font>
    <font>
      <b val="true"/>
      <u val="single"/>
      <sz val="12"/>
      <color rgb="FF000000"/>
      <name val="Arial1"/>
      <family val="0"/>
      <charset val="1"/>
    </font>
    <font>
      <b val="true"/>
      <sz val="14"/>
      <color rgb="FFF6F9D4"/>
      <name val="Arial1"/>
      <family val="0"/>
      <charset val="1"/>
    </font>
    <font>
      <b val="true"/>
      <u val="single"/>
      <sz val="10"/>
      <color rgb="FF000000"/>
      <name val="Arial1"/>
      <family val="0"/>
      <charset val="1"/>
    </font>
    <font>
      <u val="single"/>
      <sz val="8"/>
      <color rgb="FF000000"/>
      <name val="Arial1"/>
      <family val="0"/>
      <charset val="1"/>
    </font>
    <font>
      <u val="single"/>
      <sz val="11"/>
      <color rgb="FF000000"/>
      <name val="Liberation Sans1"/>
      <family val="0"/>
      <charset val="1"/>
    </font>
    <font>
      <sz val="11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0"/>
      <color rgb="FF000000"/>
      <name val="Arial"/>
      <family val="0"/>
      <charset val="1"/>
    </font>
    <font>
      <u val="single"/>
      <sz val="11"/>
      <color rgb="FF000000"/>
      <name val="Arial1"/>
      <family val="0"/>
      <charset val="1"/>
    </font>
    <font>
      <u val="single"/>
      <sz val="10"/>
      <color rgb="FF000000"/>
      <name val="Arial1"/>
      <family val="0"/>
      <charset val="1"/>
    </font>
    <font>
      <b val="true"/>
      <sz val="14"/>
      <color rgb="FF000000"/>
      <name val="Arial1"/>
      <family val="0"/>
      <charset val="1"/>
    </font>
    <font>
      <b val="true"/>
      <sz val="12"/>
      <color rgb="FF000000"/>
      <name val="Liberation Sans1"/>
      <family val="0"/>
      <charset val="1"/>
    </font>
    <font>
      <b val="true"/>
      <i val="true"/>
      <sz val="12"/>
      <color rgb="FF000000"/>
      <name val="Liberation Sans1"/>
      <family val="0"/>
      <charset val="1"/>
    </font>
    <font>
      <b val="true"/>
      <sz val="11"/>
      <color rgb="FF000000"/>
      <name val="Liberation Sans1"/>
      <family val="0"/>
      <charset val="1"/>
    </font>
    <font>
      <b val="true"/>
      <i val="true"/>
      <sz val="11"/>
      <color rgb="FF000000"/>
      <name val="Liberation Sans1"/>
      <family val="0"/>
      <charset val="1"/>
    </font>
    <font>
      <b val="true"/>
      <sz val="11"/>
      <color rgb="FF000000"/>
      <name val="Calibri"/>
      <family val="2"/>
      <charset val="1"/>
    </font>
    <font>
      <sz val="11"/>
      <color rgb="FF000000"/>
      <name val="Arial3"/>
      <family val="0"/>
      <charset val="1"/>
    </font>
    <font>
      <b val="true"/>
      <sz val="11"/>
      <color rgb="FF000000"/>
      <name val="Arial3"/>
      <family val="0"/>
      <charset val="1"/>
    </font>
    <font>
      <sz val="10"/>
      <color rgb="FF000000"/>
      <name val="Arial3"/>
      <family val="0"/>
      <charset val="1"/>
    </font>
    <font>
      <b val="true"/>
      <sz val="10"/>
      <color rgb="FF000000"/>
      <name val="Arial3"/>
      <family val="0"/>
      <charset val="1"/>
    </font>
    <font>
      <b val="true"/>
      <sz val="12"/>
      <color rgb="FF000000"/>
      <name val="Arial3"/>
      <family val="0"/>
      <charset val="1"/>
    </font>
    <font>
      <sz val="8"/>
      <color rgb="FF000000"/>
      <name val="Arial3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6F9D4"/>
      </patternFill>
    </fill>
    <fill>
      <patternFill patternType="solid">
        <fgColor rgb="FF333333"/>
        <bgColor rgb="FF333300"/>
      </patternFill>
    </fill>
    <fill>
      <patternFill patternType="solid">
        <fgColor rgb="FFFF9900"/>
        <bgColor rgb="FFFFCC00"/>
      </patternFill>
    </fill>
    <fill>
      <patternFill patternType="solid">
        <fgColor rgb="FF33FF99"/>
        <bgColor rgb="FF00FFFF"/>
      </patternFill>
    </fill>
    <fill>
      <patternFill patternType="solid">
        <fgColor rgb="FFFFCC99"/>
        <bgColor rgb="FFC0C0C0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 style="hair"/>
      <bottom style="hair"/>
      <diagonal/>
    </border>
  </borders>
  <cellStyleXfs count="3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1" fontId="4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false">
      <alignment horizontal="general" vertical="bottom" textRotation="0" wrapText="false" indent="0" shrinkToFit="false"/>
    </xf>
    <xf numFmtId="167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1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13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1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4" fillId="5" borderId="1" xfId="2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7" fillId="0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0" fillId="0" borderId="1" xfId="2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1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1" fillId="5" borderId="1" xfId="2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  <xf numFmtId="169" fontId="20" fillId="0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9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1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2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7" fillId="0" borderId="1" xfId="2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7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22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2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2" fontId="2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3" fontId="2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2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72" fontId="2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4" fontId="25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5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3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30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31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29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3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28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32" fillId="0" borderId="8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8" fillId="6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28" fillId="6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31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8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28" fillId="0" borderId="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28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28" fillId="0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3" fontId="3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30" fillId="0" borderId="1" xfId="24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1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8" fillId="6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30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29" fillId="6" borderId="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3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1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2 3 2" xfId="21"/>
    <cellStyle name="Normal 2 3 2 2" xfId="22"/>
    <cellStyle name="Normal 3" xfId="23"/>
    <cellStyle name="Normal_2040-0" xfId="24"/>
    <cellStyle name="Normal_Adic-4" xfId="25"/>
    <cellStyle name="Normal_EPAR, EEE01 e LR_EEE01" xfId="26"/>
    <cellStyle name="Resultado" xfId="27"/>
    <cellStyle name="TableStyleLight1" xfId="28"/>
    <cellStyle name="Título" xfId="29"/>
    <cellStyle name="Vírgula 2" xfId="30"/>
    <cellStyle name="Vírgula 3" xfId="3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6F9D4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FF99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8</xdr:col>
      <xdr:colOff>101880</xdr:colOff>
      <xdr:row>0</xdr:row>
      <xdr:rowOff>77760</xdr:rowOff>
    </xdr:from>
    <xdr:to>
      <xdr:col>8</xdr:col>
      <xdr:colOff>1477800</xdr:colOff>
      <xdr:row>3</xdr:row>
      <xdr:rowOff>243720</xdr:rowOff>
    </xdr:to>
    <xdr:pic>
      <xdr:nvPicPr>
        <xdr:cNvPr id="0" name="Figura 1_0" descr=""/>
        <xdr:cNvPicPr/>
      </xdr:nvPicPr>
      <xdr:blipFill>
        <a:blip r:embed="rId1"/>
        <a:stretch/>
      </xdr:blipFill>
      <xdr:spPr>
        <a:xfrm>
          <a:off x="13349880" y="77760"/>
          <a:ext cx="1375920" cy="1071360"/>
        </a:xfrm>
        <a:prstGeom prst="rect">
          <a:avLst/>
        </a:prstGeom>
        <a:ln w="1260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S35"/>
  <sheetViews>
    <sheetView showFormulas="false" showGridLines="true" showRowColHeaders="true" showZeros="true" rightToLeft="false" tabSelected="false" showOutlineSymbols="true" defaultGridColor="true" view="normal" topLeftCell="A28" colorId="64" zoomScale="80" zoomScaleNormal="80" zoomScalePageLayoutView="100" workbookViewId="0">
      <selection pane="topLeft" activeCell="B4" activeCellId="0" sqref="B4"/>
    </sheetView>
  </sheetViews>
  <sheetFormatPr defaultColWidth="8.95703125" defaultRowHeight="15.8" zeroHeight="false" outlineLevelRow="0" outlineLevelCol="0"/>
  <cols>
    <col collapsed="false" customWidth="true" hidden="false" outlineLevel="0" max="1" min="1" style="1" width="9.32"/>
    <col collapsed="false" customWidth="true" hidden="false" outlineLevel="0" max="2" min="2" style="2" width="103.39"/>
    <col collapsed="false" customWidth="true" hidden="false" outlineLevel="0" max="3" min="3" style="2" width="7.41"/>
    <col collapsed="false" customWidth="true" hidden="false" outlineLevel="0" max="4" min="4" style="2" width="24.84"/>
    <col collapsed="false" customWidth="true" hidden="false" outlineLevel="0" max="5" min="5" style="3" width="7.83"/>
    <col collapsed="false" customWidth="true" hidden="false" outlineLevel="0" max="6" min="6" style="4" width="9.18"/>
    <col collapsed="false" customWidth="true" hidden="false" outlineLevel="0" max="7" min="7" style="2" width="12.96"/>
    <col collapsed="false" customWidth="true" hidden="false" outlineLevel="0" max="8" min="8" style="2" width="12.83"/>
    <col collapsed="false" customWidth="true" hidden="false" outlineLevel="0" max="9" min="9" style="2" width="21.6"/>
    <col collapsed="false" customWidth="true" hidden="true" outlineLevel="0" max="10" min="10" style="2" width="7.15"/>
    <col collapsed="false" customWidth="false" hidden="false" outlineLevel="0" max="64" min="11" style="2" width="8.91"/>
    <col collapsed="false" customWidth="false" hidden="false" outlineLevel="0" max="253" min="202" style="5" width="8.91"/>
    <col collapsed="false" customWidth="true" hidden="false" outlineLevel="0" max="1024" min="1020" style="0" width="9.72"/>
  </cols>
  <sheetData>
    <row r="1" customFormat="false" ht="24.4" hidden="false" customHeight="true" outlineLevel="0" collapsed="false">
      <c r="A1" s="6" t="s">
        <v>0</v>
      </c>
      <c r="B1" s="7" t="s">
        <v>1</v>
      </c>
      <c r="C1" s="7"/>
      <c r="D1" s="7"/>
      <c r="E1" s="7"/>
      <c r="F1" s="7"/>
      <c r="G1" s="7"/>
      <c r="H1" s="7"/>
      <c r="I1" s="8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</row>
    <row r="2" customFormat="false" ht="23.45" hidden="false" customHeight="true" outlineLevel="0" collapsed="false">
      <c r="A2" s="6" t="s">
        <v>2</v>
      </c>
      <c r="B2" s="10" t="s">
        <v>3</v>
      </c>
      <c r="C2" s="10"/>
      <c r="D2" s="10"/>
      <c r="E2" s="10"/>
      <c r="F2" s="10"/>
      <c r="G2" s="10"/>
      <c r="H2" s="10"/>
      <c r="I2" s="8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</row>
    <row r="3" customFormat="false" ht="23.45" hidden="false" customHeight="true" outlineLevel="0" collapsed="false">
      <c r="A3" s="6" t="s">
        <v>4</v>
      </c>
      <c r="B3" s="7" t="s">
        <v>5</v>
      </c>
      <c r="C3" s="7"/>
      <c r="D3" s="7"/>
      <c r="E3" s="7"/>
      <c r="F3" s="7"/>
      <c r="G3" s="7"/>
      <c r="H3" s="7"/>
      <c r="I3" s="8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</row>
    <row r="4" customFormat="false" ht="27" hidden="false" customHeight="true" outlineLevel="0" collapsed="false">
      <c r="A4" s="6" t="s">
        <v>6</v>
      </c>
      <c r="B4" s="7" t="s">
        <v>7</v>
      </c>
      <c r="C4" s="7"/>
      <c r="D4" s="11" t="s">
        <v>8</v>
      </c>
      <c r="E4" s="12" t="n">
        <v>0.287</v>
      </c>
      <c r="F4" s="12"/>
      <c r="G4" s="7" t="s">
        <v>9</v>
      </c>
      <c r="H4" s="11" t="n">
        <v>0.168</v>
      </c>
      <c r="I4" s="8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</row>
    <row r="5" customFormat="false" ht="22.5" hidden="false" customHeight="true" outlineLevel="0" collapsed="false">
      <c r="A5" s="13" t="s">
        <v>10</v>
      </c>
      <c r="B5" s="13"/>
      <c r="C5" s="13"/>
      <c r="D5" s="13"/>
      <c r="E5" s="13"/>
      <c r="F5" s="13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</row>
    <row r="6" customFormat="false" ht="14.25" hidden="false" customHeight="true" outlineLevel="0" collapsed="false">
      <c r="A6" s="15" t="s">
        <v>11</v>
      </c>
      <c r="B6" s="15"/>
      <c r="C6" s="15"/>
      <c r="D6" s="15"/>
      <c r="E6" s="15"/>
      <c r="F6" s="15"/>
      <c r="G6" s="15"/>
      <c r="H6" s="15"/>
      <c r="I6" s="15"/>
    </row>
    <row r="7" customFormat="false" ht="29.85" hidden="false" customHeight="false" outlineLevel="0" collapsed="false">
      <c r="A7" s="16" t="s">
        <v>12</v>
      </c>
      <c r="B7" s="17" t="s">
        <v>13</v>
      </c>
      <c r="C7" s="17" t="s">
        <v>14</v>
      </c>
      <c r="D7" s="18" t="s">
        <v>15</v>
      </c>
      <c r="E7" s="17" t="s">
        <v>16</v>
      </c>
      <c r="F7" s="18" t="s">
        <v>17</v>
      </c>
      <c r="G7" s="18" t="s">
        <v>18</v>
      </c>
      <c r="H7" s="18" t="s">
        <v>19</v>
      </c>
      <c r="I7" s="18" t="s">
        <v>20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</row>
    <row r="8" customFormat="false" ht="26.1" hidden="false" customHeight="true" outlineLevel="0" collapsed="false">
      <c r="A8" s="20" t="s">
        <v>21</v>
      </c>
      <c r="B8" s="21" t="s">
        <v>22</v>
      </c>
      <c r="C8" s="21"/>
      <c r="D8" s="21"/>
      <c r="E8" s="22"/>
      <c r="F8" s="22"/>
      <c r="G8" s="23"/>
      <c r="H8" s="23"/>
      <c r="I8" s="24" t="n">
        <f aca="false">SUM(I9:I11)</f>
        <v>33059.93</v>
      </c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</row>
    <row r="9" customFormat="false" ht="19.9" hidden="false" customHeight="true" outlineLevel="0" collapsed="false">
      <c r="A9" s="27" t="s">
        <v>23</v>
      </c>
      <c r="B9" s="28" t="s">
        <v>24</v>
      </c>
      <c r="C9" s="28" t="s">
        <v>25</v>
      </c>
      <c r="D9" s="29" t="n">
        <v>99063</v>
      </c>
      <c r="E9" s="30" t="s">
        <v>26</v>
      </c>
      <c r="F9" s="30" t="n">
        <f aca="false">'Quantitativos-redes_'!I13</f>
        <v>275.37</v>
      </c>
      <c r="G9" s="31" t="n">
        <v>11.09</v>
      </c>
      <c r="H9" s="31" t="n">
        <f aca="false">G9*(1+$E$4)</f>
        <v>14.27</v>
      </c>
      <c r="I9" s="32" t="n">
        <f aca="false">H9*F9</f>
        <v>3929.53</v>
      </c>
    </row>
    <row r="10" customFormat="false" ht="35.05" hidden="false" customHeight="false" outlineLevel="0" collapsed="false">
      <c r="A10" s="27" t="s">
        <v>27</v>
      </c>
      <c r="B10" s="33" t="s">
        <v>28</v>
      </c>
      <c r="C10" s="28" t="s">
        <v>25</v>
      </c>
      <c r="D10" s="29" t="n">
        <v>5901</v>
      </c>
      <c r="E10" s="30" t="s">
        <v>29</v>
      </c>
      <c r="F10" s="30" t="n">
        <v>40</v>
      </c>
      <c r="G10" s="31" t="n">
        <v>325.86</v>
      </c>
      <c r="H10" s="31" t="n">
        <f aca="false">G10*(1+$E$4)</f>
        <v>419.38</v>
      </c>
      <c r="I10" s="32" t="n">
        <f aca="false">H10*F10</f>
        <v>16775.2</v>
      </c>
    </row>
    <row r="11" customFormat="false" ht="16.4" hidden="false" customHeight="false" outlineLevel="0" collapsed="false">
      <c r="A11" s="27" t="s">
        <v>30</v>
      </c>
      <c r="B11" s="34" t="s">
        <v>31</v>
      </c>
      <c r="C11" s="28" t="s">
        <v>25</v>
      </c>
      <c r="D11" s="29" t="n">
        <v>4813</v>
      </c>
      <c r="E11" s="30" t="s">
        <v>32</v>
      </c>
      <c r="F11" s="30" t="n">
        <v>24</v>
      </c>
      <c r="G11" s="31" t="n">
        <v>400</v>
      </c>
      <c r="H11" s="31" t="n">
        <f aca="false">G11*(1+$E$4)</f>
        <v>514.8</v>
      </c>
      <c r="I11" s="32" t="n">
        <f aca="false">H11*F11</f>
        <v>12355.2</v>
      </c>
    </row>
    <row r="12" customFormat="false" ht="27" hidden="false" customHeight="true" outlineLevel="0" collapsed="false">
      <c r="A12" s="35" t="s">
        <v>33</v>
      </c>
      <c r="B12" s="36" t="s">
        <v>34</v>
      </c>
      <c r="C12" s="36"/>
      <c r="D12" s="37"/>
      <c r="E12" s="38"/>
      <c r="F12" s="38"/>
      <c r="G12" s="39"/>
      <c r="H12" s="39"/>
      <c r="I12" s="40" t="n">
        <f aca="false">SUM(I13:I20)</f>
        <v>24283.78</v>
      </c>
    </row>
    <row r="13" customFormat="false" ht="42.4" hidden="false" customHeight="true" outlineLevel="0" collapsed="false">
      <c r="A13" s="27" t="s">
        <v>35</v>
      </c>
      <c r="B13" s="41" t="s">
        <v>36</v>
      </c>
      <c r="C13" s="28" t="s">
        <v>25</v>
      </c>
      <c r="D13" s="29" t="n">
        <v>102276</v>
      </c>
      <c r="E13" s="30" t="s">
        <v>37</v>
      </c>
      <c r="F13" s="30" t="n">
        <f aca="false">'Quantitativos-redes_'!E16</f>
        <v>104.17</v>
      </c>
      <c r="G13" s="31" t="n">
        <v>11.85</v>
      </c>
      <c r="H13" s="31" t="n">
        <f aca="false">G13*(1+$E$4)</f>
        <v>15.25</v>
      </c>
      <c r="I13" s="32" t="n">
        <f aca="false">H13*F13</f>
        <v>1588.59</v>
      </c>
    </row>
    <row r="14" customFormat="false" ht="42.4" hidden="false" customHeight="true" outlineLevel="0" collapsed="false">
      <c r="A14" s="27" t="s">
        <v>38</v>
      </c>
      <c r="B14" s="28" t="s">
        <v>39</v>
      </c>
      <c r="C14" s="28" t="s">
        <v>25</v>
      </c>
      <c r="D14" s="29" t="n">
        <v>90084</v>
      </c>
      <c r="E14" s="30" t="s">
        <v>40</v>
      </c>
      <c r="F14" s="30" t="n">
        <f aca="false">'Quantitativos-redes_'!E17</f>
        <v>295.41</v>
      </c>
      <c r="G14" s="42" t="n">
        <v>10.19</v>
      </c>
      <c r="H14" s="31" t="n">
        <f aca="false">G14*(1+$E$4)</f>
        <v>13.11</v>
      </c>
      <c r="I14" s="32" t="n">
        <f aca="false">H14*F14</f>
        <v>3872.83</v>
      </c>
    </row>
    <row r="15" customFormat="false" ht="42.4" hidden="false" customHeight="true" outlineLevel="0" collapsed="false">
      <c r="A15" s="27" t="s">
        <v>41</v>
      </c>
      <c r="B15" s="43" t="s">
        <v>42</v>
      </c>
      <c r="C15" s="28" t="s">
        <v>25</v>
      </c>
      <c r="D15" s="29" t="n">
        <v>101579</v>
      </c>
      <c r="E15" s="30" t="s">
        <v>43</v>
      </c>
      <c r="F15" s="30" t="n">
        <f aca="false">'Quantitativos-redes_'!S13</f>
        <v>69.8</v>
      </c>
      <c r="G15" s="31" t="n">
        <v>54.98</v>
      </c>
      <c r="H15" s="31" t="n">
        <f aca="false">G15*(1+$E$4)</f>
        <v>70.76</v>
      </c>
      <c r="I15" s="32" t="n">
        <f aca="false">H15*F15</f>
        <v>4939.05</v>
      </c>
    </row>
    <row r="16" customFormat="false" ht="42.4" hidden="false" customHeight="true" outlineLevel="0" collapsed="false">
      <c r="A16" s="27" t="s">
        <v>44</v>
      </c>
      <c r="B16" s="44" t="s">
        <v>45</v>
      </c>
      <c r="C16" s="28" t="s">
        <v>25</v>
      </c>
      <c r="D16" s="29" t="s">
        <v>46</v>
      </c>
      <c r="E16" s="30" t="s">
        <v>37</v>
      </c>
      <c r="F16" s="30" t="n">
        <f aca="false">'Quantitativos-redes_'!E24</f>
        <v>288.4</v>
      </c>
      <c r="G16" s="31" t="n">
        <v>22.75</v>
      </c>
      <c r="H16" s="31" t="n">
        <f aca="false">G16*(1+$E$4)</f>
        <v>29.28</v>
      </c>
      <c r="I16" s="32" t="n">
        <f aca="false">H16*F16</f>
        <v>8444.35</v>
      </c>
    </row>
    <row r="17" customFormat="false" ht="42.4" hidden="false" customHeight="true" outlineLevel="0" collapsed="false">
      <c r="A17" s="27" t="s">
        <v>47</v>
      </c>
      <c r="B17" s="41" t="s">
        <v>48</v>
      </c>
      <c r="C17" s="28" t="s">
        <v>25</v>
      </c>
      <c r="D17" s="29" t="n">
        <v>93381</v>
      </c>
      <c r="E17" s="30" t="s">
        <v>37</v>
      </c>
      <c r="F17" s="30" t="n">
        <f aca="false">'Quantitativos-redes_'!E23</f>
        <v>100.91</v>
      </c>
      <c r="G17" s="42" t="n">
        <v>20.79</v>
      </c>
      <c r="H17" s="31" t="n">
        <f aca="false">G17*(1+$E$4)</f>
        <v>26.76</v>
      </c>
      <c r="I17" s="32" t="n">
        <f aca="false">H17*F17</f>
        <v>2700.35</v>
      </c>
    </row>
    <row r="18" customFormat="false" ht="42.4" hidden="false" customHeight="true" outlineLevel="0" collapsed="false">
      <c r="A18" s="27" t="s">
        <v>49</v>
      </c>
      <c r="B18" s="28" t="s">
        <v>50</v>
      </c>
      <c r="C18" s="28" t="s">
        <v>25</v>
      </c>
      <c r="D18" s="29" t="s">
        <v>51</v>
      </c>
      <c r="E18" s="30" t="s">
        <v>37</v>
      </c>
      <c r="F18" s="30" t="n">
        <f aca="false">'Quantitativos-redes_'!Q13</f>
        <v>10.27</v>
      </c>
      <c r="G18" s="31" t="n">
        <v>9.27</v>
      </c>
      <c r="H18" s="31" t="n">
        <f aca="false">G18*(1+$E$4)</f>
        <v>11.93</v>
      </c>
      <c r="I18" s="32" t="n">
        <f aca="false">H18*F18</f>
        <v>122.52</v>
      </c>
    </row>
    <row r="19" customFormat="false" ht="42.4" hidden="false" customHeight="true" outlineLevel="0" collapsed="false">
      <c r="A19" s="27" t="s">
        <v>52</v>
      </c>
      <c r="B19" s="28" t="s">
        <v>53</v>
      </c>
      <c r="C19" s="28" t="s">
        <v>25</v>
      </c>
      <c r="D19" s="29" t="s">
        <v>54</v>
      </c>
      <c r="E19" s="30" t="s">
        <v>55</v>
      </c>
      <c r="F19" s="45" t="n">
        <f aca="false">F18*5</f>
        <v>51.35</v>
      </c>
      <c r="G19" s="46" t="n">
        <v>3.12</v>
      </c>
      <c r="H19" s="31" t="n">
        <f aca="false">G19*(1+$E$4)</f>
        <v>4.02</v>
      </c>
      <c r="I19" s="32" t="n">
        <f aca="false">H19*F19</f>
        <v>206.43</v>
      </c>
    </row>
    <row r="20" customFormat="false" ht="42.4" hidden="false" customHeight="true" outlineLevel="0" collapsed="false">
      <c r="A20" s="27" t="s">
        <v>56</v>
      </c>
      <c r="B20" s="28" t="s">
        <v>57</v>
      </c>
      <c r="C20" s="28" t="s">
        <v>25</v>
      </c>
      <c r="D20" s="29" t="s">
        <v>58</v>
      </c>
      <c r="E20" s="47" t="s">
        <v>59</v>
      </c>
      <c r="F20" s="47" t="n">
        <f aca="false">F18*1.5</f>
        <v>15.41</v>
      </c>
      <c r="G20" s="48" t="n">
        <v>121.5</v>
      </c>
      <c r="H20" s="31" t="n">
        <f aca="false">G20*(1+$E$4)</f>
        <v>156.37</v>
      </c>
      <c r="I20" s="32" t="n">
        <f aca="false">H20*F20</f>
        <v>2409.66</v>
      </c>
    </row>
    <row r="21" customFormat="false" ht="24.75" hidden="false" customHeight="true" outlineLevel="0" collapsed="false">
      <c r="A21" s="35" t="s">
        <v>60</v>
      </c>
      <c r="B21" s="36" t="s">
        <v>61</v>
      </c>
      <c r="C21" s="36"/>
      <c r="D21" s="37"/>
      <c r="E21" s="38"/>
      <c r="F21" s="38"/>
      <c r="G21" s="39"/>
      <c r="H21" s="39"/>
      <c r="I21" s="40" t="n">
        <f aca="false">SUM(I22:I25)</f>
        <v>63696.71</v>
      </c>
    </row>
    <row r="22" customFormat="false" ht="32.65" hidden="false" customHeight="true" outlineLevel="0" collapsed="false">
      <c r="A22" s="27" t="s">
        <v>62</v>
      </c>
      <c r="B22" s="28" t="s">
        <v>63</v>
      </c>
      <c r="C22" s="28" t="s">
        <v>25</v>
      </c>
      <c r="D22" s="29" t="n">
        <v>90703</v>
      </c>
      <c r="E22" s="30" t="s">
        <v>26</v>
      </c>
      <c r="F22" s="30" t="n">
        <f aca="false">'Quantitativos-redes_'!I13</f>
        <v>275.37</v>
      </c>
      <c r="G22" s="31" t="n">
        <v>201.93</v>
      </c>
      <c r="H22" s="31" t="n">
        <v>191.08</v>
      </c>
      <c r="I22" s="32" t="n">
        <f aca="false">H22*F22</f>
        <v>52617.7</v>
      </c>
      <c r="L22" s="2" t="n">
        <f aca="false">F22/2</f>
        <v>137.685</v>
      </c>
    </row>
    <row r="23" customFormat="false" ht="29.85" hidden="false" customHeight="false" outlineLevel="0" collapsed="false">
      <c r="A23" s="27" t="s">
        <v>64</v>
      </c>
      <c r="B23" s="44" t="s">
        <v>65</v>
      </c>
      <c r="C23" s="28" t="s">
        <v>25</v>
      </c>
      <c r="D23" s="29" t="s">
        <v>66</v>
      </c>
      <c r="E23" s="47" t="s">
        <v>67</v>
      </c>
      <c r="F23" s="47" t="n">
        <f aca="false">'Quantitativos-redes_'!I35</f>
        <v>5</v>
      </c>
      <c r="G23" s="48" t="n">
        <v>1050.02</v>
      </c>
      <c r="H23" s="31" t="n">
        <f aca="false">G23*(1+$E$4)</f>
        <v>1351.38</v>
      </c>
      <c r="I23" s="32" t="n">
        <f aca="false">H23*F23</f>
        <v>6756.9</v>
      </c>
      <c r="J23" s="49"/>
    </row>
    <row r="24" customFormat="false" ht="40.9" hidden="false" customHeight="true" outlineLevel="0" collapsed="false">
      <c r="A24" s="27" t="s">
        <v>68</v>
      </c>
      <c r="B24" s="44" t="s">
        <v>69</v>
      </c>
      <c r="C24" s="28" t="s">
        <v>25</v>
      </c>
      <c r="D24" s="29" t="s">
        <v>70</v>
      </c>
      <c r="E24" s="30" t="s">
        <v>26</v>
      </c>
      <c r="F24" s="30" t="n">
        <f aca="false">'Quantitativos-redes_'!I36</f>
        <v>1.45</v>
      </c>
      <c r="G24" s="31" t="n">
        <v>335.51</v>
      </c>
      <c r="H24" s="31" t="n">
        <f aca="false">G24*(1+$E$4)</f>
        <v>431.8</v>
      </c>
      <c r="I24" s="32" t="n">
        <f aca="false">H24*F24</f>
        <v>626.11</v>
      </c>
    </row>
    <row r="25" customFormat="false" ht="40.9" hidden="false" customHeight="true" outlineLevel="0" collapsed="false">
      <c r="A25" s="27" t="s">
        <v>71</v>
      </c>
      <c r="B25" s="28" t="s">
        <v>72</v>
      </c>
      <c r="C25" s="28" t="s">
        <v>25</v>
      </c>
      <c r="D25" s="29" t="s">
        <v>73</v>
      </c>
      <c r="E25" s="30" t="s">
        <v>67</v>
      </c>
      <c r="F25" s="30" t="n">
        <f aca="false">'Quantitativos-redes_'!I37</f>
        <v>5</v>
      </c>
      <c r="G25" s="31" t="n">
        <v>632.88</v>
      </c>
      <c r="H25" s="31" t="n">
        <f aca="false">G25*(1+$H$4)</f>
        <v>739.2</v>
      </c>
      <c r="I25" s="32" t="n">
        <f aca="false">H25*F25</f>
        <v>3696</v>
      </c>
    </row>
    <row r="26" customFormat="false" ht="27" hidden="false" customHeight="true" outlineLevel="0" collapsed="false">
      <c r="A26" s="35" t="s">
        <v>74</v>
      </c>
      <c r="B26" s="36" t="s">
        <v>75</v>
      </c>
      <c r="C26" s="36"/>
      <c r="D26" s="37"/>
      <c r="E26" s="50"/>
      <c r="F26" s="38"/>
      <c r="G26" s="39"/>
      <c r="H26" s="39"/>
      <c r="I26" s="40" t="n">
        <f aca="false">SUM(I27:I34)</f>
        <v>55225.79</v>
      </c>
    </row>
    <row r="27" customFormat="false" ht="34.9" hidden="false" customHeight="true" outlineLevel="0" collapsed="false">
      <c r="A27" s="51" t="s">
        <v>76</v>
      </c>
      <c r="B27" s="52" t="s">
        <v>77</v>
      </c>
      <c r="C27" s="28" t="s">
        <v>25</v>
      </c>
      <c r="D27" s="53" t="s">
        <v>78</v>
      </c>
      <c r="E27" s="54" t="s">
        <v>43</v>
      </c>
      <c r="F27" s="47" t="n">
        <f aca="false">'Quantitativos-redes_'!N13</f>
        <v>247.83</v>
      </c>
      <c r="G27" s="55" t="n">
        <v>25</v>
      </c>
      <c r="H27" s="31" t="n">
        <f aca="false">G27*(1+$E$4)</f>
        <v>32.18</v>
      </c>
      <c r="I27" s="32" t="n">
        <f aca="false">H27*F27</f>
        <v>7975.17</v>
      </c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56"/>
      <c r="DM27" s="56"/>
      <c r="DN27" s="56"/>
      <c r="DO27" s="56"/>
      <c r="DP27" s="56"/>
      <c r="DQ27" s="56"/>
      <c r="DR27" s="56"/>
      <c r="DS27" s="56"/>
      <c r="DT27" s="56"/>
      <c r="DU27" s="56"/>
      <c r="DV27" s="56"/>
      <c r="DW27" s="56"/>
      <c r="DX27" s="56"/>
      <c r="DY27" s="56"/>
      <c r="DZ27" s="56"/>
      <c r="EA27" s="56"/>
      <c r="EB27" s="56"/>
      <c r="EC27" s="56"/>
      <c r="ED27" s="56"/>
      <c r="EE27" s="56"/>
      <c r="EF27" s="56"/>
      <c r="EG27" s="56"/>
      <c r="EH27" s="56"/>
      <c r="EI27" s="56"/>
      <c r="EJ27" s="56"/>
      <c r="EK27" s="56"/>
      <c r="EL27" s="56"/>
      <c r="EM27" s="56"/>
      <c r="EN27" s="56"/>
      <c r="EO27" s="56"/>
      <c r="EP27" s="56"/>
      <c r="EQ27" s="56"/>
      <c r="ER27" s="56"/>
      <c r="ES27" s="56"/>
      <c r="ET27" s="56"/>
      <c r="EU27" s="56"/>
      <c r="EV27" s="56"/>
      <c r="EW27" s="56"/>
      <c r="EX27" s="56"/>
      <c r="EY27" s="56"/>
      <c r="EZ27" s="56"/>
      <c r="FA27" s="56"/>
      <c r="FB27" s="56"/>
      <c r="FC27" s="56"/>
      <c r="FD27" s="56"/>
      <c r="FE27" s="56"/>
      <c r="FF27" s="56"/>
      <c r="FG27" s="56"/>
      <c r="FH27" s="56"/>
      <c r="FI27" s="56"/>
      <c r="FJ27" s="56"/>
      <c r="FK27" s="56"/>
      <c r="FL27" s="56"/>
      <c r="FM27" s="56"/>
      <c r="FN27" s="56"/>
      <c r="FO27" s="56"/>
      <c r="FP27" s="56"/>
      <c r="FQ27" s="56"/>
      <c r="FR27" s="56"/>
      <c r="FS27" s="56"/>
      <c r="FT27" s="56"/>
      <c r="FU27" s="56"/>
      <c r="FV27" s="56"/>
      <c r="FW27" s="56"/>
      <c r="FX27" s="56"/>
      <c r="FY27" s="56"/>
      <c r="FZ27" s="56"/>
      <c r="GA27" s="56"/>
      <c r="GB27" s="56"/>
      <c r="GC27" s="56"/>
      <c r="GD27" s="56"/>
      <c r="GE27" s="56"/>
      <c r="GF27" s="56"/>
      <c r="GG27" s="56"/>
      <c r="GH27" s="56"/>
      <c r="GI27" s="56"/>
      <c r="GJ27" s="56"/>
      <c r="GK27" s="56"/>
      <c r="GL27" s="56"/>
      <c r="GM27" s="56"/>
      <c r="GN27" s="56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57"/>
      <c r="HX27" s="57"/>
      <c r="HY27" s="57"/>
      <c r="HZ27" s="57"/>
      <c r="IA27" s="57"/>
      <c r="IB27" s="57"/>
      <c r="IC27" s="57"/>
      <c r="ID27" s="57"/>
      <c r="IE27" s="57"/>
      <c r="IF27" s="57"/>
      <c r="IG27" s="57"/>
      <c r="IH27" s="57"/>
      <c r="II27" s="57"/>
      <c r="IJ27" s="57"/>
      <c r="IK27" s="57"/>
      <c r="IL27" s="57"/>
      <c r="IM27" s="56"/>
      <c r="IN27" s="56"/>
      <c r="IO27" s="56"/>
      <c r="IP27" s="56"/>
      <c r="IQ27" s="56"/>
      <c r="IR27" s="56"/>
      <c r="IS27" s="56"/>
    </row>
    <row r="28" customFormat="false" ht="42.4" hidden="false" customHeight="true" outlineLevel="0" collapsed="false">
      <c r="A28" s="51" t="s">
        <v>79</v>
      </c>
      <c r="B28" s="28" t="s">
        <v>50</v>
      </c>
      <c r="C28" s="28" t="s">
        <v>25</v>
      </c>
      <c r="D28" s="29" t="s">
        <v>51</v>
      </c>
      <c r="E28" s="30" t="s">
        <v>37</v>
      </c>
      <c r="F28" s="30" t="n">
        <f aca="false">'Quantitativos-redes_'!P13</f>
        <v>49.58</v>
      </c>
      <c r="G28" s="31" t="n">
        <v>9.27</v>
      </c>
      <c r="H28" s="31" t="n">
        <f aca="false">G28*(1+$E$4)</f>
        <v>11.93</v>
      </c>
      <c r="I28" s="32" t="n">
        <f aca="false">H28*F28</f>
        <v>591.49</v>
      </c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56"/>
      <c r="CW28" s="56"/>
      <c r="CX28" s="56"/>
      <c r="CY28" s="56"/>
      <c r="CZ28" s="56"/>
      <c r="DA28" s="56"/>
      <c r="DB28" s="56"/>
      <c r="DC28" s="56"/>
      <c r="DD28" s="56"/>
      <c r="DE28" s="56"/>
      <c r="DF28" s="56"/>
      <c r="DG28" s="56"/>
      <c r="DH28" s="56"/>
      <c r="DI28" s="56"/>
      <c r="DJ28" s="56"/>
      <c r="DK28" s="56"/>
      <c r="DL28" s="56"/>
      <c r="DM28" s="56"/>
      <c r="DN28" s="56"/>
      <c r="DO28" s="56"/>
      <c r="DP28" s="56"/>
      <c r="DQ28" s="56"/>
      <c r="DR28" s="56"/>
      <c r="DS28" s="56"/>
      <c r="DT28" s="56"/>
      <c r="DU28" s="56"/>
      <c r="DV28" s="56"/>
      <c r="DW28" s="56"/>
      <c r="DX28" s="56"/>
      <c r="DY28" s="56"/>
      <c r="DZ28" s="56"/>
      <c r="EA28" s="56"/>
      <c r="EB28" s="56"/>
      <c r="EC28" s="56"/>
      <c r="ED28" s="56"/>
      <c r="EE28" s="56"/>
      <c r="EF28" s="56"/>
      <c r="EG28" s="56"/>
      <c r="EH28" s="56"/>
      <c r="EI28" s="56"/>
      <c r="EJ28" s="56"/>
      <c r="EK28" s="56"/>
      <c r="EL28" s="56"/>
      <c r="EM28" s="56"/>
      <c r="EN28" s="56"/>
      <c r="EO28" s="56"/>
      <c r="EP28" s="56"/>
      <c r="EQ28" s="56"/>
      <c r="ER28" s="56"/>
      <c r="ES28" s="56"/>
      <c r="ET28" s="56"/>
      <c r="EU28" s="56"/>
      <c r="EV28" s="56"/>
      <c r="EW28" s="56"/>
      <c r="EX28" s="56"/>
      <c r="EY28" s="56"/>
      <c r="EZ28" s="56"/>
      <c r="FA28" s="56"/>
      <c r="FB28" s="56"/>
      <c r="FC28" s="56"/>
      <c r="FD28" s="56"/>
      <c r="FE28" s="56"/>
      <c r="FF28" s="56"/>
      <c r="FG28" s="56"/>
      <c r="FH28" s="56"/>
      <c r="FI28" s="56"/>
      <c r="FJ28" s="56"/>
      <c r="FK28" s="56"/>
      <c r="FL28" s="56"/>
      <c r="FM28" s="56"/>
      <c r="FN28" s="56"/>
      <c r="FO28" s="56"/>
      <c r="FP28" s="56"/>
      <c r="FQ28" s="56"/>
      <c r="FR28" s="56"/>
      <c r="FS28" s="56"/>
      <c r="FT28" s="56"/>
      <c r="FU28" s="56"/>
      <c r="FV28" s="56"/>
      <c r="FW28" s="56"/>
      <c r="FX28" s="56"/>
      <c r="FY28" s="56"/>
      <c r="FZ28" s="56"/>
      <c r="GA28" s="56"/>
      <c r="GB28" s="56"/>
      <c r="GC28" s="56"/>
      <c r="GD28" s="56"/>
      <c r="GE28" s="56"/>
      <c r="GF28" s="56"/>
      <c r="GG28" s="56"/>
      <c r="GH28" s="56"/>
      <c r="GI28" s="56"/>
      <c r="GJ28" s="56"/>
      <c r="GK28" s="56"/>
      <c r="GL28" s="56"/>
      <c r="GM28" s="56"/>
      <c r="GN28" s="56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6"/>
      <c r="IN28" s="56"/>
      <c r="IO28" s="56"/>
      <c r="IP28" s="56"/>
      <c r="IQ28" s="56"/>
      <c r="IR28" s="56"/>
      <c r="IS28" s="56"/>
    </row>
    <row r="29" customFormat="false" ht="42.4" hidden="false" customHeight="true" outlineLevel="0" collapsed="false">
      <c r="A29" s="51" t="s">
        <v>80</v>
      </c>
      <c r="B29" s="28" t="s">
        <v>53</v>
      </c>
      <c r="C29" s="28" t="s">
        <v>25</v>
      </c>
      <c r="D29" s="29" t="s">
        <v>54</v>
      </c>
      <c r="E29" s="30" t="s">
        <v>55</v>
      </c>
      <c r="F29" s="30" t="n">
        <f aca="false">F28*5</f>
        <v>247.9</v>
      </c>
      <c r="G29" s="46" t="n">
        <v>3.12</v>
      </c>
      <c r="H29" s="31" t="n">
        <f aca="false">G29*(1+$E$4)</f>
        <v>4.02</v>
      </c>
      <c r="I29" s="32" t="n">
        <f aca="false">H29*F29</f>
        <v>996.56</v>
      </c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56"/>
      <c r="DM29" s="56"/>
      <c r="DN29" s="56"/>
      <c r="DO29" s="56"/>
      <c r="DP29" s="56"/>
      <c r="DQ29" s="56"/>
      <c r="DR29" s="56"/>
      <c r="DS29" s="56"/>
      <c r="DT29" s="56"/>
      <c r="DU29" s="56"/>
      <c r="DV29" s="56"/>
      <c r="DW29" s="56"/>
      <c r="DX29" s="56"/>
      <c r="DY29" s="56"/>
      <c r="DZ29" s="56"/>
      <c r="EA29" s="56"/>
      <c r="EB29" s="56"/>
      <c r="EC29" s="56"/>
      <c r="ED29" s="56"/>
      <c r="EE29" s="56"/>
      <c r="EF29" s="56"/>
      <c r="EG29" s="56"/>
      <c r="EH29" s="56"/>
      <c r="EI29" s="56"/>
      <c r="EJ29" s="56"/>
      <c r="EK29" s="56"/>
      <c r="EL29" s="56"/>
      <c r="EM29" s="56"/>
      <c r="EN29" s="56"/>
      <c r="EO29" s="56"/>
      <c r="EP29" s="56"/>
      <c r="EQ29" s="56"/>
      <c r="ER29" s="56"/>
      <c r="ES29" s="56"/>
      <c r="ET29" s="56"/>
      <c r="EU29" s="56"/>
      <c r="EV29" s="56"/>
      <c r="EW29" s="56"/>
      <c r="EX29" s="56"/>
      <c r="EY29" s="56"/>
      <c r="EZ29" s="56"/>
      <c r="FA29" s="56"/>
      <c r="FB29" s="56"/>
      <c r="FC29" s="56"/>
      <c r="FD29" s="56"/>
      <c r="FE29" s="56"/>
      <c r="FF29" s="56"/>
      <c r="FG29" s="56"/>
      <c r="FH29" s="56"/>
      <c r="FI29" s="56"/>
      <c r="FJ29" s="56"/>
      <c r="FK29" s="56"/>
      <c r="FL29" s="56"/>
      <c r="FM29" s="56"/>
      <c r="FN29" s="56"/>
      <c r="FO29" s="56"/>
      <c r="FP29" s="56"/>
      <c r="FQ29" s="56"/>
      <c r="FR29" s="56"/>
      <c r="FS29" s="56"/>
      <c r="FT29" s="56"/>
      <c r="FU29" s="56"/>
      <c r="FV29" s="56"/>
      <c r="FW29" s="56"/>
      <c r="FX29" s="56"/>
      <c r="FY29" s="56"/>
      <c r="FZ29" s="56"/>
      <c r="GA29" s="56"/>
      <c r="GB29" s="56"/>
      <c r="GC29" s="56"/>
      <c r="GD29" s="56"/>
      <c r="GE29" s="56"/>
      <c r="GF29" s="56"/>
      <c r="GG29" s="56"/>
      <c r="GH29" s="56"/>
      <c r="GI29" s="56"/>
      <c r="GJ29" s="56"/>
      <c r="GK29" s="56"/>
      <c r="GL29" s="56"/>
      <c r="GM29" s="56"/>
      <c r="GN29" s="56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57"/>
      <c r="HX29" s="57"/>
      <c r="HY29" s="57"/>
      <c r="HZ29" s="57"/>
      <c r="IA29" s="57"/>
      <c r="IB29" s="57"/>
      <c r="IC29" s="57"/>
      <c r="ID29" s="57"/>
      <c r="IE29" s="57"/>
      <c r="IF29" s="57"/>
      <c r="IG29" s="57"/>
      <c r="IH29" s="57"/>
      <c r="II29" s="57"/>
      <c r="IJ29" s="57"/>
      <c r="IK29" s="57"/>
      <c r="IL29" s="57"/>
      <c r="IM29" s="56"/>
      <c r="IN29" s="56"/>
      <c r="IO29" s="56"/>
      <c r="IP29" s="56"/>
      <c r="IQ29" s="56"/>
      <c r="IR29" s="56"/>
      <c r="IS29" s="56"/>
    </row>
    <row r="30" customFormat="false" ht="42.4" hidden="false" customHeight="true" outlineLevel="0" collapsed="false">
      <c r="A30" s="51" t="s">
        <v>81</v>
      </c>
      <c r="B30" s="28" t="s">
        <v>57</v>
      </c>
      <c r="C30" s="28" t="s">
        <v>25</v>
      </c>
      <c r="D30" s="29" t="s">
        <v>58</v>
      </c>
      <c r="E30" s="47" t="s">
        <v>59</v>
      </c>
      <c r="F30" s="47" t="n">
        <f aca="false">F28*1.8</f>
        <v>89.24</v>
      </c>
      <c r="G30" s="48" t="n">
        <v>121.5</v>
      </c>
      <c r="H30" s="31" t="n">
        <f aca="false">G30*(1+$E$4)</f>
        <v>156.37</v>
      </c>
      <c r="I30" s="32" t="n">
        <f aca="false">H30*F30</f>
        <v>13954.46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6"/>
      <c r="DD30" s="56"/>
      <c r="DE30" s="56"/>
      <c r="DF30" s="56"/>
      <c r="DG30" s="56"/>
      <c r="DH30" s="56"/>
      <c r="DI30" s="56"/>
      <c r="DJ30" s="56"/>
      <c r="DK30" s="56"/>
      <c r="DL30" s="56"/>
      <c r="DM30" s="56"/>
      <c r="DN30" s="56"/>
      <c r="DO30" s="56"/>
      <c r="DP30" s="56"/>
      <c r="DQ30" s="56"/>
      <c r="DR30" s="56"/>
      <c r="DS30" s="56"/>
      <c r="DT30" s="56"/>
      <c r="DU30" s="56"/>
      <c r="DV30" s="56"/>
      <c r="DW30" s="56"/>
      <c r="DX30" s="56"/>
      <c r="DY30" s="56"/>
      <c r="DZ30" s="56"/>
      <c r="EA30" s="56"/>
      <c r="EB30" s="56"/>
      <c r="EC30" s="56"/>
      <c r="ED30" s="56"/>
      <c r="EE30" s="56"/>
      <c r="EF30" s="56"/>
      <c r="EG30" s="56"/>
      <c r="EH30" s="56"/>
      <c r="EI30" s="56"/>
      <c r="EJ30" s="56"/>
      <c r="EK30" s="56"/>
      <c r="EL30" s="56"/>
      <c r="EM30" s="56"/>
      <c r="EN30" s="56"/>
      <c r="EO30" s="56"/>
      <c r="EP30" s="56"/>
      <c r="EQ30" s="56"/>
      <c r="ER30" s="56"/>
      <c r="ES30" s="56"/>
      <c r="ET30" s="56"/>
      <c r="EU30" s="56"/>
      <c r="EV30" s="56"/>
      <c r="EW30" s="56"/>
      <c r="EX30" s="56"/>
      <c r="EY30" s="56"/>
      <c r="EZ30" s="56"/>
      <c r="FA30" s="56"/>
      <c r="FB30" s="56"/>
      <c r="FC30" s="56"/>
      <c r="FD30" s="56"/>
      <c r="FE30" s="56"/>
      <c r="FF30" s="56"/>
      <c r="FG30" s="56"/>
      <c r="FH30" s="56"/>
      <c r="FI30" s="56"/>
      <c r="FJ30" s="56"/>
      <c r="FK30" s="56"/>
      <c r="FL30" s="56"/>
      <c r="FM30" s="56"/>
      <c r="FN30" s="56"/>
      <c r="FO30" s="56"/>
      <c r="FP30" s="56"/>
      <c r="FQ30" s="56"/>
      <c r="FR30" s="56"/>
      <c r="FS30" s="56"/>
      <c r="FT30" s="56"/>
      <c r="FU30" s="56"/>
      <c r="FV30" s="56"/>
      <c r="FW30" s="56"/>
      <c r="FX30" s="56"/>
      <c r="FY30" s="56"/>
      <c r="FZ30" s="56"/>
      <c r="GA30" s="56"/>
      <c r="GB30" s="56"/>
      <c r="GC30" s="56"/>
      <c r="GD30" s="56"/>
      <c r="GE30" s="56"/>
      <c r="GF30" s="56"/>
      <c r="GG30" s="56"/>
      <c r="GH30" s="56"/>
      <c r="GI30" s="56"/>
      <c r="GJ30" s="56"/>
      <c r="GK30" s="56"/>
      <c r="GL30" s="56"/>
      <c r="GM30" s="56"/>
      <c r="GN30" s="56"/>
      <c r="GO30" s="57"/>
      <c r="GP30" s="57"/>
      <c r="GQ30" s="57"/>
      <c r="GR30" s="57"/>
      <c r="GS30" s="57"/>
      <c r="GT30" s="57"/>
      <c r="GU30" s="57"/>
      <c r="GV30" s="57"/>
      <c r="GW30" s="57"/>
      <c r="GX30" s="57"/>
      <c r="GY30" s="57"/>
      <c r="GZ30" s="57"/>
      <c r="HA30" s="57"/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  <c r="HN30" s="57"/>
      <c r="HO30" s="57"/>
      <c r="HP30" s="57"/>
      <c r="HQ30" s="57"/>
      <c r="HR30" s="57"/>
      <c r="HS30" s="57"/>
      <c r="HT30" s="57"/>
      <c r="HU30" s="57"/>
      <c r="HV30" s="57"/>
      <c r="HW30" s="57"/>
      <c r="HX30" s="57"/>
      <c r="HY30" s="57"/>
      <c r="HZ30" s="57"/>
      <c r="IA30" s="57"/>
      <c r="IB30" s="57"/>
      <c r="IC30" s="57"/>
      <c r="ID30" s="57"/>
      <c r="IE30" s="57"/>
      <c r="IF30" s="57"/>
      <c r="IG30" s="57"/>
      <c r="IH30" s="57"/>
      <c r="II30" s="57"/>
      <c r="IJ30" s="57"/>
      <c r="IK30" s="57"/>
      <c r="IL30" s="57"/>
      <c r="IM30" s="56"/>
      <c r="IN30" s="56"/>
      <c r="IO30" s="56"/>
      <c r="IP30" s="56"/>
      <c r="IQ30" s="56"/>
      <c r="IR30" s="56"/>
      <c r="IS30" s="56"/>
    </row>
    <row r="31" customFormat="false" ht="42.4" hidden="false" customHeight="true" outlineLevel="0" collapsed="false">
      <c r="A31" s="51" t="s">
        <v>82</v>
      </c>
      <c r="B31" s="28" t="s">
        <v>83</v>
      </c>
      <c r="C31" s="28" t="s">
        <v>25</v>
      </c>
      <c r="D31" s="29" t="s">
        <v>84</v>
      </c>
      <c r="E31" s="30" t="s">
        <v>37</v>
      </c>
      <c r="F31" s="30" t="n">
        <f aca="false">'Quantitativos-redes_'!D35</f>
        <v>37.17</v>
      </c>
      <c r="G31" s="31" t="n">
        <v>142.75</v>
      </c>
      <c r="H31" s="31" t="n">
        <f aca="false">G31*(1+$E$4)</f>
        <v>183.72</v>
      </c>
      <c r="I31" s="32" t="n">
        <f aca="false">H31*F31</f>
        <v>6828.87</v>
      </c>
    </row>
    <row r="32" customFormat="false" ht="42.4" hidden="false" customHeight="true" outlineLevel="0" collapsed="false">
      <c r="A32" s="51" t="s">
        <v>85</v>
      </c>
      <c r="B32" s="28" t="s">
        <v>86</v>
      </c>
      <c r="C32" s="28" t="s">
        <v>25</v>
      </c>
      <c r="D32" s="29" t="s">
        <v>87</v>
      </c>
      <c r="E32" s="30" t="s">
        <v>37</v>
      </c>
      <c r="F32" s="30" t="n">
        <f aca="false">'Quantitativos-redes_'!D36</f>
        <v>12.39</v>
      </c>
      <c r="G32" s="31" t="n">
        <v>1487.89</v>
      </c>
      <c r="H32" s="31" t="n">
        <f aca="false">G32*(1+$E$4)</f>
        <v>1914.91</v>
      </c>
      <c r="I32" s="32" t="n">
        <f aca="false">H32*F32</f>
        <v>23725.73</v>
      </c>
      <c r="L32" s="2" t="n">
        <f aca="false">F32/2</f>
        <v>6.195</v>
      </c>
    </row>
    <row r="33" customFormat="false" ht="42.4" hidden="false" customHeight="true" outlineLevel="0" collapsed="false">
      <c r="A33" s="51" t="s">
        <v>88</v>
      </c>
      <c r="B33" s="28" t="s">
        <v>89</v>
      </c>
      <c r="C33" s="28" t="s">
        <v>25</v>
      </c>
      <c r="D33" s="29" t="s">
        <v>90</v>
      </c>
      <c r="E33" s="30" t="s">
        <v>91</v>
      </c>
      <c r="F33" s="45" t="n">
        <f aca="false">F32*30</f>
        <v>371.7</v>
      </c>
      <c r="G33" s="31" t="n">
        <v>1.9</v>
      </c>
      <c r="H33" s="31" t="n">
        <f aca="false">G33*(1+$E$4)</f>
        <v>2.45</v>
      </c>
      <c r="I33" s="32" t="n">
        <f aca="false">H33*F33</f>
        <v>910.67</v>
      </c>
    </row>
    <row r="34" customFormat="false" ht="42.4" hidden="false" customHeight="true" outlineLevel="0" collapsed="false">
      <c r="A34" s="51" t="s">
        <v>92</v>
      </c>
      <c r="B34" s="28" t="s">
        <v>93</v>
      </c>
      <c r="C34" s="28" t="s">
        <v>25</v>
      </c>
      <c r="D34" s="58" t="s">
        <v>94</v>
      </c>
      <c r="E34" s="30" t="s">
        <v>91</v>
      </c>
      <c r="F34" s="30" t="n">
        <f aca="false">F32*20</f>
        <v>247.8</v>
      </c>
      <c r="G34" s="31" t="n">
        <v>0.76</v>
      </c>
      <c r="H34" s="31" t="n">
        <f aca="false">G34*(1+$E$4)</f>
        <v>0.98</v>
      </c>
      <c r="I34" s="32" t="n">
        <f aca="false">H34*F34</f>
        <v>242.84</v>
      </c>
    </row>
    <row r="35" customFormat="false" ht="23.1" hidden="false" customHeight="true" outlineLevel="0" collapsed="false">
      <c r="A35" s="59" t="s">
        <v>95</v>
      </c>
      <c r="B35" s="59"/>
      <c r="C35" s="59"/>
      <c r="D35" s="59"/>
      <c r="E35" s="59"/>
      <c r="F35" s="59"/>
      <c r="G35" s="59"/>
      <c r="H35" s="59"/>
      <c r="I35" s="60" t="n">
        <f aca="false">I8+I12+I21+I26</f>
        <v>176266.21</v>
      </c>
      <c r="K35" s="19"/>
      <c r="L35" s="19"/>
    </row>
  </sheetData>
  <mergeCells count="8">
    <mergeCell ref="B1:G1"/>
    <mergeCell ref="I1:I4"/>
    <mergeCell ref="B2:G2"/>
    <mergeCell ref="B3:G3"/>
    <mergeCell ref="E4:F4"/>
    <mergeCell ref="A5:I5"/>
    <mergeCell ref="A6:I6"/>
    <mergeCell ref="A35:H35"/>
  </mergeCells>
  <printOptions headings="false" gridLines="false" gridLinesSet="true" horizontalCentered="true" verticalCentered="false"/>
  <pageMargins left="0.39375" right="0.39375" top="0.39375" bottom="0.39375" header="0.511805555555555" footer="0.511805555555555"/>
  <pageSetup paperSize="9" scale="63" firstPageNumber="1" fitToWidth="1" fitToHeight="1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colBreaks count="2" manualBreakCount="2">
    <brk id="9" man="true" max="65535" min="0"/>
    <brk id="10" man="true" max="65535" min="0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L57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2" activeCellId="0" sqref="A2"/>
    </sheetView>
  </sheetViews>
  <sheetFormatPr defaultColWidth="9.75" defaultRowHeight="15.8" zeroHeight="false" outlineLevelRow="0" outlineLevelCol="0"/>
  <cols>
    <col collapsed="false" customWidth="true" hidden="false" outlineLevel="0" max="1" min="1" style="61" width="12.83"/>
    <col collapsed="false" customWidth="true" hidden="false" outlineLevel="0" max="2" min="2" style="61" width="20.25"/>
    <col collapsed="false" customWidth="true" hidden="false" outlineLevel="0" max="3" min="3" style="61" width="15.93"/>
    <col collapsed="false" customWidth="true" hidden="false" outlineLevel="0" max="4" min="4" style="61" width="11.34"/>
    <col collapsed="false" customWidth="true" hidden="false" outlineLevel="0" max="5" min="5" style="62" width="12.03"/>
    <col collapsed="false" customWidth="true" hidden="true" outlineLevel="0" max="6" min="6" style="62" width="10.39"/>
    <col collapsed="false" customWidth="true" hidden="false" outlineLevel="0" max="7" min="7" style="62" width="10.39"/>
    <col collapsed="false" customWidth="true" hidden="false" outlineLevel="0" max="8" min="8" style="62" width="18.39"/>
    <col collapsed="false" customWidth="true" hidden="false" outlineLevel="0" max="9" min="9" style="62" width="13.09"/>
    <col collapsed="false" customWidth="true" hidden="false" outlineLevel="0" max="10" min="10" style="61" width="17.93"/>
    <col collapsed="false" customWidth="true" hidden="false" outlineLevel="0" max="11" min="11" style="61" width="13.74"/>
    <col collapsed="false" customWidth="true" hidden="false" outlineLevel="0" max="12" min="12" style="62" width="18.39"/>
    <col collapsed="false" customWidth="true" hidden="false" outlineLevel="0" max="13" min="13" style="62" width="20.64"/>
    <col collapsed="false" customWidth="true" hidden="false" outlineLevel="0" max="14" min="14" style="62" width="19.44"/>
    <col collapsed="false" customWidth="true" hidden="false" outlineLevel="0" max="15" min="15" style="62" width="18.09"/>
    <col collapsed="false" customWidth="true" hidden="false" outlineLevel="0" max="16" min="16" style="62" width="19.84"/>
    <col collapsed="false" customWidth="true" hidden="false" outlineLevel="0" max="17" min="17" style="63" width="13.5"/>
    <col collapsed="false" customWidth="true" hidden="false" outlineLevel="0" max="18" min="18" style="63" width="17.82"/>
    <col collapsed="false" customWidth="true" hidden="false" outlineLevel="0" max="19" min="19" style="63" width="14.16"/>
    <col collapsed="false" customWidth="false" hidden="false" outlineLevel="0" max="64" min="20" style="63" width="9.72"/>
  </cols>
  <sheetData>
    <row r="1" customFormat="false" ht="17" hidden="false" customHeight="false" outlineLevel="0" collapsed="false">
      <c r="A1" s="64" t="s">
        <v>96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customFormat="false" ht="17" hidden="false" customHeight="false" outlineLevel="0" collapsed="false">
      <c r="A2" s="65"/>
      <c r="B2" s="65"/>
      <c r="P2" s="66"/>
      <c r="R2" s="67"/>
    </row>
    <row r="3" customFormat="false" ht="17" hidden="false" customHeight="true" outlineLevel="0" collapsed="false">
      <c r="A3" s="65"/>
      <c r="B3" s="65"/>
      <c r="O3" s="68" t="s">
        <v>97</v>
      </c>
      <c r="P3" s="69" t="s">
        <v>98</v>
      </c>
      <c r="Q3" s="69"/>
      <c r="R3" s="68" t="s">
        <v>99</v>
      </c>
      <c r="S3" s="68" t="s">
        <v>100</v>
      </c>
    </row>
    <row r="4" customFormat="false" ht="15.8" hidden="false" customHeight="true" outlineLevel="0" collapsed="false">
      <c r="A4" s="70" t="s">
        <v>101</v>
      </c>
      <c r="B4" s="70" t="s">
        <v>102</v>
      </c>
      <c r="C4" s="70" t="s">
        <v>103</v>
      </c>
      <c r="D4" s="70"/>
      <c r="E4" s="69" t="s">
        <v>104</v>
      </c>
      <c r="F4" s="69"/>
      <c r="G4" s="69"/>
      <c r="H4" s="71" t="s">
        <v>105</v>
      </c>
      <c r="I4" s="71" t="s">
        <v>106</v>
      </c>
      <c r="J4" s="68" t="s">
        <v>107</v>
      </c>
      <c r="K4" s="68" t="s">
        <v>108</v>
      </c>
      <c r="L4" s="71" t="s">
        <v>109</v>
      </c>
      <c r="M4" s="71" t="s">
        <v>110</v>
      </c>
      <c r="N4" s="71" t="s">
        <v>111</v>
      </c>
      <c r="O4" s="68"/>
      <c r="P4" s="68" t="s">
        <v>112</v>
      </c>
      <c r="Q4" s="68" t="s">
        <v>113</v>
      </c>
      <c r="R4" s="68"/>
      <c r="S4" s="68"/>
    </row>
    <row r="5" customFormat="false" ht="20.1" hidden="false" customHeight="true" outlineLevel="0" collapsed="false">
      <c r="A5" s="70"/>
      <c r="B5" s="70"/>
      <c r="C5" s="70"/>
      <c r="D5" s="70"/>
      <c r="E5" s="72" t="s">
        <v>114</v>
      </c>
      <c r="F5" s="72"/>
      <c r="G5" s="72" t="s">
        <v>115</v>
      </c>
      <c r="H5" s="71"/>
      <c r="I5" s="71"/>
      <c r="J5" s="68"/>
      <c r="K5" s="68"/>
      <c r="L5" s="71"/>
      <c r="M5" s="71"/>
      <c r="N5" s="71"/>
      <c r="O5" s="71"/>
      <c r="P5" s="71"/>
      <c r="Q5" s="68"/>
      <c r="R5" s="68"/>
      <c r="S5" s="68"/>
    </row>
    <row r="6" customFormat="false" ht="15.8" hidden="false" customHeight="false" outlineLevel="0" collapsed="false">
      <c r="A6" s="70"/>
      <c r="B6" s="70"/>
      <c r="C6" s="70" t="s">
        <v>114</v>
      </c>
      <c r="D6" s="70" t="s">
        <v>116</v>
      </c>
      <c r="E6" s="72" t="s">
        <v>26</v>
      </c>
      <c r="F6" s="72"/>
      <c r="G6" s="72" t="s">
        <v>26</v>
      </c>
      <c r="H6" s="72" t="s">
        <v>26</v>
      </c>
      <c r="I6" s="72" t="s">
        <v>26</v>
      </c>
      <c r="J6" s="73" t="s">
        <v>117</v>
      </c>
      <c r="K6" s="73"/>
      <c r="L6" s="72" t="s">
        <v>26</v>
      </c>
      <c r="M6" s="72" t="s">
        <v>26</v>
      </c>
      <c r="N6" s="72" t="s">
        <v>32</v>
      </c>
      <c r="O6" s="72" t="s">
        <v>40</v>
      </c>
      <c r="P6" s="73" t="s">
        <v>40</v>
      </c>
      <c r="Q6" s="73" t="s">
        <v>40</v>
      </c>
      <c r="R6" s="74" t="s">
        <v>40</v>
      </c>
      <c r="S6" s="74" t="s">
        <v>32</v>
      </c>
    </row>
    <row r="7" customFormat="false" ht="15.8" hidden="false" customHeight="false" outlineLevel="0" collapsed="false">
      <c r="A7" s="75" t="s">
        <v>118</v>
      </c>
      <c r="B7" s="76" t="s">
        <v>119</v>
      </c>
      <c r="C7" s="76" t="s">
        <v>120</v>
      </c>
      <c r="D7" s="76" t="s">
        <v>121</v>
      </c>
      <c r="E7" s="77" t="n">
        <v>1.55</v>
      </c>
      <c r="F7" s="77"/>
      <c r="G7" s="77" t="n">
        <v>1.64</v>
      </c>
      <c r="H7" s="77" t="n">
        <f aca="false">(E7+G7)/2</f>
        <v>1.6</v>
      </c>
      <c r="I7" s="77" t="n">
        <v>8.76</v>
      </c>
      <c r="J7" s="76" t="n">
        <v>200</v>
      </c>
      <c r="K7" s="76" t="s">
        <v>122</v>
      </c>
      <c r="L7" s="77" t="n">
        <v>0.9</v>
      </c>
      <c r="M7" s="77" t="n">
        <v>8.76</v>
      </c>
      <c r="N7" s="77" t="n">
        <f aca="false">L7*M7</f>
        <v>7.88</v>
      </c>
      <c r="O7" s="77" t="n">
        <f aca="false">H7*I7*L7</f>
        <v>12.61</v>
      </c>
      <c r="P7" s="77" t="n">
        <f aca="false">M7*L7*0.2</f>
        <v>1.58</v>
      </c>
      <c r="Q7" s="77" t="n">
        <f aca="false">I7*$C$40</f>
        <v>0.33</v>
      </c>
      <c r="R7" s="77" t="n">
        <f aca="false">O7-Q7</f>
        <v>12.28</v>
      </c>
      <c r="S7" s="77" t="n">
        <f aca="false">IF(G7&gt;1.5,(H7-1.5)*I7*1.5,0)</f>
        <v>1.31</v>
      </c>
    </row>
    <row r="8" customFormat="false" ht="15.8" hidden="false" customHeight="false" outlineLevel="0" collapsed="false">
      <c r="A8" s="75" t="s">
        <v>123</v>
      </c>
      <c r="B8" s="76" t="s">
        <v>119</v>
      </c>
      <c r="C8" s="76" t="s">
        <v>121</v>
      </c>
      <c r="D8" s="76" t="s">
        <v>124</v>
      </c>
      <c r="E8" s="77" t="n">
        <v>1.64</v>
      </c>
      <c r="F8" s="77"/>
      <c r="G8" s="77" t="n">
        <v>1.58</v>
      </c>
      <c r="H8" s="77" t="n">
        <f aca="false">(E8+G8)/2</f>
        <v>1.61</v>
      </c>
      <c r="I8" s="77" t="n">
        <v>89.51</v>
      </c>
      <c r="J8" s="76" t="n">
        <v>200</v>
      </c>
      <c r="K8" s="76" t="s">
        <v>122</v>
      </c>
      <c r="L8" s="77" t="n">
        <v>0.9</v>
      </c>
      <c r="M8" s="77" t="n">
        <v>89.51</v>
      </c>
      <c r="N8" s="77" t="n">
        <f aca="false">L8*M8</f>
        <v>80.56</v>
      </c>
      <c r="O8" s="77" t="n">
        <f aca="false">H8*I8*L8</f>
        <v>129.7</v>
      </c>
      <c r="P8" s="77" t="n">
        <f aca="false">M8*L8*0.2</f>
        <v>16.11</v>
      </c>
      <c r="Q8" s="77" t="n">
        <f aca="false">I8*$C$40</f>
        <v>3.34</v>
      </c>
      <c r="R8" s="77" t="n">
        <f aca="false">O8-Q8</f>
        <v>126.36</v>
      </c>
      <c r="S8" s="77" t="n">
        <f aca="false">IF(G8&gt;1.5,(H8-1.5)*I8*1.5,0)</f>
        <v>14.77</v>
      </c>
    </row>
    <row r="9" customFormat="false" ht="15.8" hidden="false" customHeight="false" outlineLevel="0" collapsed="false">
      <c r="A9" s="75" t="s">
        <v>125</v>
      </c>
      <c r="B9" s="76" t="s">
        <v>119</v>
      </c>
      <c r="C9" s="76" t="s">
        <v>124</v>
      </c>
      <c r="D9" s="76" t="s">
        <v>126</v>
      </c>
      <c r="E9" s="77" t="n">
        <v>1.58</v>
      </c>
      <c r="F9" s="77"/>
      <c r="G9" s="77" t="n">
        <v>2.22</v>
      </c>
      <c r="H9" s="77" t="n">
        <f aca="false">(E9+G9)/2</f>
        <v>1.9</v>
      </c>
      <c r="I9" s="77" t="n">
        <v>89.53</v>
      </c>
      <c r="J9" s="76" t="n">
        <v>200</v>
      </c>
      <c r="K9" s="76" t="s">
        <v>122</v>
      </c>
      <c r="L9" s="77" t="n">
        <v>0.9</v>
      </c>
      <c r="M9" s="77" t="n">
        <v>89.53</v>
      </c>
      <c r="N9" s="77" t="n">
        <f aca="false">L9*M9</f>
        <v>80.58</v>
      </c>
      <c r="O9" s="78" t="n">
        <f aca="false">H9*I9*L9</f>
        <v>153.1</v>
      </c>
      <c r="P9" s="77" t="n">
        <f aca="false">M9*L9*0.2</f>
        <v>16.12</v>
      </c>
      <c r="Q9" s="77" t="n">
        <f aca="false">I9*$C$40</f>
        <v>3.34</v>
      </c>
      <c r="R9" s="77" t="n">
        <f aca="false">O9-Q9</f>
        <v>149.76</v>
      </c>
      <c r="S9" s="77" t="n">
        <f aca="false">IF(G9&gt;1.5,(H9-1.5)*I9*1.5,0)</f>
        <v>53.72</v>
      </c>
    </row>
    <row r="10" customFormat="false" ht="15.8" hidden="false" customHeight="false" outlineLevel="0" collapsed="false">
      <c r="A10" s="75" t="s">
        <v>127</v>
      </c>
      <c r="B10" s="76" t="s">
        <v>128</v>
      </c>
      <c r="C10" s="76" t="s">
        <v>120</v>
      </c>
      <c r="D10" s="76" t="s">
        <v>129</v>
      </c>
      <c r="E10" s="77" t="n">
        <v>1.22</v>
      </c>
      <c r="F10" s="77"/>
      <c r="G10" s="77" t="n">
        <v>1.25</v>
      </c>
      <c r="H10" s="77" t="n">
        <f aca="false">(E10+G10)/2</f>
        <v>1.24</v>
      </c>
      <c r="I10" s="77" t="n">
        <v>8.09</v>
      </c>
      <c r="J10" s="76" t="n">
        <v>200</v>
      </c>
      <c r="K10" s="76" t="s">
        <v>122</v>
      </c>
      <c r="L10" s="77" t="n">
        <v>0.9</v>
      </c>
      <c r="M10" s="77" t="n">
        <v>8.09</v>
      </c>
      <c r="N10" s="77" t="n">
        <f aca="false">L10*M10</f>
        <v>7.28</v>
      </c>
      <c r="O10" s="77" t="n">
        <f aca="false">H10*I10*L10</f>
        <v>9.03</v>
      </c>
      <c r="P10" s="77" t="n">
        <f aca="false">M10*L10*0.2</f>
        <v>1.46</v>
      </c>
      <c r="Q10" s="77" t="n">
        <f aca="false">I10*$C$40</f>
        <v>0.3</v>
      </c>
      <c r="R10" s="77" t="n">
        <f aca="false">O10-Q10</f>
        <v>8.73</v>
      </c>
      <c r="S10" s="77" t="n">
        <f aca="false">IF(G10&gt;1.5,(H10-1.5)*I10*1.5,0)</f>
        <v>0</v>
      </c>
    </row>
    <row r="11" customFormat="false" ht="15.8" hidden="false" customHeight="false" outlineLevel="0" collapsed="false">
      <c r="A11" s="75" t="s">
        <v>130</v>
      </c>
      <c r="B11" s="76" t="s">
        <v>128</v>
      </c>
      <c r="C11" s="76" t="s">
        <v>129</v>
      </c>
      <c r="D11" s="76" t="s">
        <v>131</v>
      </c>
      <c r="E11" s="77" t="n">
        <v>1.25</v>
      </c>
      <c r="F11" s="77"/>
      <c r="G11" s="77" t="n">
        <v>1.41</v>
      </c>
      <c r="H11" s="77" t="n">
        <f aca="false">(E11+G11)/2</f>
        <v>1.33</v>
      </c>
      <c r="I11" s="77" t="n">
        <v>79.48</v>
      </c>
      <c r="J11" s="76" t="n">
        <v>200</v>
      </c>
      <c r="K11" s="76" t="s">
        <v>122</v>
      </c>
      <c r="L11" s="77" t="n">
        <v>0.9</v>
      </c>
      <c r="M11" s="77" t="n">
        <v>79.48</v>
      </c>
      <c r="N11" s="77" t="n">
        <f aca="false">L11*M11</f>
        <v>71.53</v>
      </c>
      <c r="O11" s="77" t="n">
        <f aca="false">H11*I11*L11</f>
        <v>95.14</v>
      </c>
      <c r="P11" s="77" t="n">
        <f aca="false">M11*L11*0.2</f>
        <v>14.31</v>
      </c>
      <c r="Q11" s="77" t="n">
        <f aca="false">I11*$C$40</f>
        <v>2.96</v>
      </c>
      <c r="R11" s="77" t="n">
        <f aca="false">O11-Q11</f>
        <v>92.18</v>
      </c>
      <c r="S11" s="77" t="n">
        <f aca="false">IF(G11&gt;2,(H11-2)*I11*2,0)</f>
        <v>0</v>
      </c>
    </row>
    <row r="12" customFormat="false" ht="11.85" hidden="false" customHeight="true" outlineLevel="0" collapsed="false">
      <c r="A12" s="76"/>
      <c r="B12" s="76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</row>
    <row r="13" customFormat="false" ht="15.8" hidden="false" customHeight="false" outlineLevel="0" collapsed="false">
      <c r="A13" s="79" t="s">
        <v>132</v>
      </c>
      <c r="B13" s="79"/>
      <c r="C13" s="79"/>
      <c r="D13" s="79"/>
      <c r="E13" s="79"/>
      <c r="F13" s="79"/>
      <c r="G13" s="79"/>
      <c r="H13" s="79"/>
      <c r="I13" s="80" t="n">
        <f aca="false">SUM(I7:I11)</f>
        <v>275.37</v>
      </c>
      <c r="J13" s="81"/>
      <c r="K13" s="81"/>
      <c r="L13" s="81"/>
      <c r="M13" s="82" t="n">
        <f aca="false">SUM(M7:M11)</f>
        <v>275.37</v>
      </c>
      <c r="N13" s="82" t="n">
        <f aca="false">SUM(N7:N11)</f>
        <v>247.83</v>
      </c>
      <c r="O13" s="82" t="n">
        <f aca="false">SUM(O7:O11)</f>
        <v>399.58</v>
      </c>
      <c r="P13" s="82" t="n">
        <f aca="false">SUM(P7:P11)</f>
        <v>49.58</v>
      </c>
      <c r="Q13" s="82" t="n">
        <f aca="false">SUM(Q7:Q11)</f>
        <v>10.27</v>
      </c>
      <c r="R13" s="82" t="n">
        <f aca="false">SUM(R7:R11)</f>
        <v>389.31</v>
      </c>
      <c r="S13" s="82" t="n">
        <f aca="false">SUM(S7:S11)</f>
        <v>69.8</v>
      </c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</row>
    <row r="14" customFormat="false" ht="15.8" hidden="false" customHeight="false" outlineLevel="0" collapsed="false">
      <c r="J14" s="83"/>
      <c r="K14" s="83"/>
      <c r="L14" s="83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</row>
    <row r="15" customFormat="false" ht="15.8" hidden="false" customHeight="false" outlineLevel="0" collapsed="false">
      <c r="A15" s="70" t="s">
        <v>133</v>
      </c>
      <c r="B15" s="70"/>
      <c r="C15" s="70"/>
      <c r="D15" s="70"/>
      <c r="E15" s="72" t="s">
        <v>134</v>
      </c>
      <c r="F15" s="72"/>
      <c r="G15" s="74"/>
      <c r="H15" s="69" t="s">
        <v>135</v>
      </c>
      <c r="I15" s="69"/>
      <c r="J15" s="69"/>
      <c r="K15" s="63"/>
      <c r="L15" s="69" t="s">
        <v>136</v>
      </c>
      <c r="M15" s="69"/>
      <c r="N15" s="69"/>
      <c r="O15" s="66"/>
      <c r="Q15" s="62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</row>
    <row r="16" customFormat="false" ht="15.8" hidden="false" customHeight="false" outlineLevel="0" collapsed="false">
      <c r="A16" s="84" t="s">
        <v>137</v>
      </c>
      <c r="B16" s="84"/>
      <c r="C16" s="84"/>
      <c r="D16" s="84"/>
      <c r="E16" s="77" t="n">
        <f aca="false">SUMIFS(O$7:O$11,H$7:H$11,"&lt;=1,5")</f>
        <v>104.17</v>
      </c>
      <c r="F16" s="77"/>
      <c r="G16" s="85"/>
      <c r="H16" s="76" t="s">
        <v>102</v>
      </c>
      <c r="I16" s="76" t="s">
        <v>138</v>
      </c>
      <c r="J16" s="86" t="s">
        <v>139</v>
      </c>
      <c r="K16" s="63"/>
      <c r="L16" s="76" t="s">
        <v>102</v>
      </c>
      <c r="M16" s="76" t="s">
        <v>140</v>
      </c>
      <c r="N16" s="86" t="s">
        <v>141</v>
      </c>
      <c r="O16" s="61"/>
      <c r="P16" s="87"/>
      <c r="Q16" s="61"/>
      <c r="R16" s="62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</row>
    <row r="17" customFormat="false" ht="15.8" hidden="false" customHeight="false" outlineLevel="0" collapsed="false">
      <c r="A17" s="84" t="s">
        <v>142</v>
      </c>
      <c r="B17" s="84"/>
      <c r="C17" s="84"/>
      <c r="D17" s="84"/>
      <c r="E17" s="77" t="n">
        <f aca="false">SUMIFS(O$7:O$11,H$7:H$11,"&gt;1,5",H$7:H$11,"&lt;=3")</f>
        <v>295.41</v>
      </c>
      <c r="F17" s="77"/>
      <c r="G17" s="85"/>
      <c r="H17" s="76" t="s">
        <v>119</v>
      </c>
      <c r="I17" s="77" t="s">
        <v>143</v>
      </c>
      <c r="J17" s="86" t="n">
        <f aca="false">SUM(I7:I9)</f>
        <v>187.8</v>
      </c>
      <c r="K17" s="63"/>
      <c r="L17" s="76" t="s">
        <v>119</v>
      </c>
      <c r="M17" s="77" t="n">
        <f aca="false">SUM(N7:N9)</f>
        <v>169.02</v>
      </c>
      <c r="N17" s="86" t="n">
        <f aca="false">M17*0.05</f>
        <v>8.451</v>
      </c>
      <c r="O17" s="61"/>
      <c r="Q17" s="61"/>
      <c r="R17" s="62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</row>
    <row r="18" customFormat="false" ht="15.8" hidden="false" customHeight="false" outlineLevel="0" collapsed="false">
      <c r="A18" s="84" t="s">
        <v>144</v>
      </c>
      <c r="B18" s="84"/>
      <c r="C18" s="84"/>
      <c r="D18" s="84"/>
      <c r="E18" s="77" t="n">
        <f aca="false">SUMIFS(O$7:O$11,H$7:H$11,"&gt;3")</f>
        <v>0</v>
      </c>
      <c r="F18" s="77"/>
      <c r="G18" s="85"/>
      <c r="H18" s="76" t="s">
        <v>145</v>
      </c>
      <c r="I18" s="76" t="s">
        <v>143</v>
      </c>
      <c r="J18" s="86" t="n">
        <f aca="false">SUM(I10:I11)</f>
        <v>87.57</v>
      </c>
      <c r="K18" s="63"/>
      <c r="L18" s="76" t="s">
        <v>145</v>
      </c>
      <c r="M18" s="76" t="n">
        <f aca="false">SUM(N10:N11)</f>
        <v>78.81</v>
      </c>
      <c r="N18" s="86" t="n">
        <f aca="false">M18*0.05</f>
        <v>3.9405</v>
      </c>
      <c r="O18" s="61"/>
      <c r="Q18" s="61"/>
      <c r="R18" s="62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</row>
    <row r="19" customFormat="false" ht="15.8" hidden="false" customHeight="false" outlineLevel="0" collapsed="false">
      <c r="A19" s="70" t="s">
        <v>146</v>
      </c>
      <c r="B19" s="70"/>
      <c r="C19" s="70"/>
      <c r="D19" s="70"/>
      <c r="E19" s="72" t="n">
        <f aca="false">SUM(E16:E18)</f>
        <v>399.58</v>
      </c>
      <c r="F19" s="72"/>
      <c r="G19" s="85"/>
      <c r="H19" s="76"/>
      <c r="I19" s="76"/>
      <c r="J19" s="86"/>
      <c r="K19" s="63"/>
      <c r="L19" s="76"/>
      <c r="M19" s="76"/>
      <c r="N19" s="86"/>
      <c r="O19" s="63"/>
      <c r="P19" s="63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</row>
    <row r="20" customFormat="false" ht="14.25" hidden="false" customHeight="true" outlineLevel="0" collapsed="false">
      <c r="H20" s="76"/>
      <c r="I20" s="76"/>
      <c r="J20" s="86"/>
      <c r="K20" s="63"/>
      <c r="L20" s="76"/>
      <c r="M20" s="76"/>
      <c r="N20" s="86"/>
      <c r="O20" s="88"/>
      <c r="P20" s="88"/>
      <c r="Q20" s="88"/>
      <c r="R20" s="88"/>
      <c r="S20" s="88"/>
      <c r="T20" s="88"/>
      <c r="U20" s="88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</row>
    <row r="21" customFormat="false" ht="14.25" hidden="false" customHeight="true" outlineLevel="0" collapsed="false">
      <c r="H21" s="76"/>
      <c r="I21" s="76"/>
      <c r="J21" s="86"/>
      <c r="K21" s="63"/>
      <c r="L21" s="76"/>
      <c r="M21" s="76"/>
      <c r="N21" s="86"/>
      <c r="O21" s="88"/>
      <c r="P21" s="61"/>
      <c r="Q21" s="61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</row>
    <row r="22" customFormat="false" ht="15.8" hidden="false" customHeight="false" outlineLevel="0" collapsed="false">
      <c r="A22" s="70" t="s">
        <v>147</v>
      </c>
      <c r="B22" s="70"/>
      <c r="C22" s="70"/>
      <c r="D22" s="70"/>
      <c r="E22" s="72" t="s">
        <v>134</v>
      </c>
      <c r="F22" s="72"/>
      <c r="G22" s="89"/>
      <c r="H22" s="73" t="s">
        <v>146</v>
      </c>
      <c r="I22" s="73"/>
      <c r="J22" s="90" t="n">
        <f aca="false">SUM(J17:J18)</f>
        <v>275.37</v>
      </c>
      <c r="K22" s="63"/>
      <c r="L22" s="73" t="s">
        <v>146</v>
      </c>
      <c r="M22" s="73"/>
      <c r="N22" s="90" t="n">
        <f aca="false">SUM(N17:N18)</f>
        <v>12.3915</v>
      </c>
      <c r="O22" s="63"/>
      <c r="P22" s="63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</row>
    <row r="23" customFormat="false" ht="15.8" hidden="false" customHeight="false" outlineLevel="0" collapsed="false">
      <c r="A23" s="84" t="s">
        <v>137</v>
      </c>
      <c r="B23" s="84"/>
      <c r="C23" s="84"/>
      <c r="D23" s="84"/>
      <c r="E23" s="77" t="n">
        <f aca="false">SUMIFS(R$7:R$11,H$7:H$11,"&lt;=1,5")</f>
        <v>100.91</v>
      </c>
      <c r="F23" s="77"/>
      <c r="H23" s="63"/>
      <c r="I23" s="63"/>
      <c r="J23" s="63"/>
      <c r="K23" s="63"/>
      <c r="L23" s="63"/>
      <c r="M23" s="87"/>
      <c r="N23" s="61"/>
      <c r="O23" s="87"/>
      <c r="P23" s="87"/>
      <c r="Q23" s="87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</row>
    <row r="24" customFormat="false" ht="15.8" hidden="false" customHeight="false" outlineLevel="0" collapsed="false">
      <c r="A24" s="84" t="s">
        <v>142</v>
      </c>
      <c r="B24" s="84"/>
      <c r="C24" s="84"/>
      <c r="D24" s="84"/>
      <c r="E24" s="77" t="n">
        <f aca="false">SUMIFS(R$7:R$11,H$7:H$11,"&gt;1,5",H$7:H$11,"&lt;=3")</f>
        <v>288.4</v>
      </c>
      <c r="F24" s="77"/>
      <c r="H24" s="63"/>
      <c r="I24" s="91"/>
      <c r="J24" s="91"/>
      <c r="K24" s="91"/>
      <c r="L24" s="63"/>
      <c r="M24" s="61"/>
      <c r="N24" s="61"/>
      <c r="O24" s="61"/>
      <c r="P24" s="61"/>
      <c r="Q24" s="61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</row>
    <row r="25" customFormat="false" ht="15.8" hidden="false" customHeight="false" outlineLevel="0" collapsed="false">
      <c r="A25" s="84" t="s">
        <v>144</v>
      </c>
      <c r="B25" s="84"/>
      <c r="C25" s="84"/>
      <c r="D25" s="84"/>
      <c r="E25" s="77" t="n">
        <f aca="false">SUMIFS(R$7:R$11,H$7:H$11,"&gt;3")</f>
        <v>0</v>
      </c>
      <c r="F25" s="77"/>
      <c r="H25" s="92" t="s">
        <v>148</v>
      </c>
      <c r="I25" s="92"/>
      <c r="J25" s="92"/>
      <c r="K25" s="92"/>
      <c r="L25" s="92"/>
      <c r="M25" s="92"/>
      <c r="N25" s="92"/>
      <c r="O25" s="93"/>
      <c r="P25" s="93"/>
      <c r="Q25" s="93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</row>
    <row r="26" customFormat="false" ht="15.8" hidden="false" customHeight="false" outlineLevel="0" collapsed="false">
      <c r="A26" s="70" t="s">
        <v>146</v>
      </c>
      <c r="B26" s="70"/>
      <c r="C26" s="70"/>
      <c r="D26" s="70"/>
      <c r="E26" s="72" t="n">
        <f aca="false">SUM(E23:E25)</f>
        <v>389.31</v>
      </c>
      <c r="F26" s="72"/>
      <c r="G26" s="89"/>
      <c r="H26" s="84" t="s">
        <v>12</v>
      </c>
      <c r="I26" s="84" t="s">
        <v>149</v>
      </c>
      <c r="J26" s="84"/>
      <c r="K26" s="84"/>
      <c r="L26" s="84" t="s">
        <v>150</v>
      </c>
      <c r="M26" s="84"/>
      <c r="N26" s="84"/>
      <c r="O26" s="93"/>
      <c r="P26" s="93"/>
      <c r="Q26" s="93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</row>
    <row r="27" customFormat="false" ht="15.8" hidden="false" customHeight="false" outlineLevel="0" collapsed="false">
      <c r="A27" s="63"/>
      <c r="B27" s="63"/>
      <c r="C27" s="63"/>
      <c r="D27" s="63"/>
      <c r="E27" s="63"/>
      <c r="H27" s="84"/>
      <c r="I27" s="76" t="s">
        <v>151</v>
      </c>
      <c r="J27" s="76" t="s">
        <v>152</v>
      </c>
      <c r="K27" s="76" t="s">
        <v>153</v>
      </c>
      <c r="L27" s="76" t="s">
        <v>154</v>
      </c>
      <c r="M27" s="76" t="s">
        <v>155</v>
      </c>
      <c r="N27" s="94" t="s">
        <v>156</v>
      </c>
      <c r="O27" s="0"/>
      <c r="P27" s="93"/>
      <c r="Q27" s="93"/>
      <c r="R27" s="62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</row>
    <row r="28" customFormat="false" ht="15.8" hidden="false" customHeight="false" outlineLevel="0" collapsed="false">
      <c r="A28" s="63"/>
      <c r="B28" s="63"/>
      <c r="C28" s="63"/>
      <c r="D28" s="63"/>
      <c r="E28" s="63"/>
      <c r="F28" s="72"/>
      <c r="H28" s="76" t="n">
        <v>1</v>
      </c>
      <c r="I28" s="76" t="s">
        <v>121</v>
      </c>
      <c r="J28" s="76" t="n">
        <v>200</v>
      </c>
      <c r="K28" s="77" t="n">
        <v>1.64</v>
      </c>
      <c r="L28" s="95" t="n">
        <v>1.35</v>
      </c>
      <c r="M28" s="95" t="n">
        <f aca="false">IF(K28-1.35&lt;1,IF(K28-1.35&gt;0,K28-1.35,0),1)</f>
        <v>0.29</v>
      </c>
      <c r="N28" s="95" t="n">
        <f aca="false">IF(K28-(1.35+M28)&lt;0,0,K28-(1.35+M28))</f>
        <v>0</v>
      </c>
      <c r="O28" s="0"/>
      <c r="P28" s="93"/>
      <c r="Q28" s="93"/>
      <c r="R28" s="62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</row>
    <row r="29" customFormat="false" ht="15.8" hidden="false" customHeight="false" outlineLevel="0" collapsed="false">
      <c r="A29" s="70" t="s">
        <v>157</v>
      </c>
      <c r="B29" s="70"/>
      <c r="C29" s="70"/>
      <c r="D29" s="70"/>
      <c r="E29" s="72" t="s">
        <v>158</v>
      </c>
      <c r="F29" s="77"/>
      <c r="H29" s="76" t="n">
        <v>2</v>
      </c>
      <c r="I29" s="76" t="s">
        <v>124</v>
      </c>
      <c r="J29" s="76" t="n">
        <v>200</v>
      </c>
      <c r="K29" s="77" t="n">
        <v>1.58</v>
      </c>
      <c r="L29" s="95" t="n">
        <v>1.35</v>
      </c>
      <c r="M29" s="95" t="n">
        <f aca="false">IF(K29-1.35&lt;1,IF(K29-1.35&gt;0,K29-1.35,0),1)</f>
        <v>0.23</v>
      </c>
      <c r="N29" s="95" t="n">
        <f aca="false">IF(K29-(1.35+M29)&lt;0,0,K29-(1.35+M29))</f>
        <v>0</v>
      </c>
      <c r="O29" s="0"/>
      <c r="P29" s="93"/>
      <c r="Q29" s="93"/>
      <c r="R29" s="62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</row>
    <row r="30" customFormat="false" ht="15.8" hidden="false" customHeight="false" outlineLevel="0" collapsed="false">
      <c r="A30" s="84" t="s">
        <v>159</v>
      </c>
      <c r="B30" s="84"/>
      <c r="C30" s="84"/>
      <c r="D30" s="84"/>
      <c r="E30" s="77" t="n">
        <f aca="false">SUMIF(H$7:H$11,"&lt;=3",S$7:S$11)</f>
        <v>69.8</v>
      </c>
      <c r="F30" s="77"/>
      <c r="H30" s="76" t="n">
        <v>3</v>
      </c>
      <c r="I30" s="76" t="s">
        <v>126</v>
      </c>
      <c r="J30" s="76" t="n">
        <v>200</v>
      </c>
      <c r="K30" s="77" t="n">
        <v>2.22</v>
      </c>
      <c r="L30" s="95" t="n">
        <v>1.35</v>
      </c>
      <c r="M30" s="95" t="n">
        <f aca="false">IF(K30-1.35&lt;1,IF(K30-1.35&gt;0,K30-1.35,0),1)</f>
        <v>0.87</v>
      </c>
      <c r="N30" s="95" t="n">
        <f aca="false">IF(K30-(1.35+M30)&lt;0,0,K30-(1.35+M30))</f>
        <v>0</v>
      </c>
      <c r="O30" s="0"/>
      <c r="P30" s="93"/>
      <c r="Q30" s="93"/>
      <c r="R30" s="62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</row>
    <row r="31" customFormat="false" ht="15.8" hidden="false" customHeight="false" outlineLevel="0" collapsed="false">
      <c r="A31" s="84" t="s">
        <v>160</v>
      </c>
      <c r="B31" s="84"/>
      <c r="C31" s="84"/>
      <c r="D31" s="84"/>
      <c r="E31" s="77" t="n">
        <f aca="false">SUMIFS(S$7:S$11,H$7:H$11,"&gt;3",H$7:H$11,"&lt;=4,5")</f>
        <v>0</v>
      </c>
      <c r="F31" s="77"/>
      <c r="H31" s="76" t="n">
        <v>4</v>
      </c>
      <c r="I31" s="76" t="s">
        <v>129</v>
      </c>
      <c r="J31" s="76" t="n">
        <v>200</v>
      </c>
      <c r="K31" s="77" t="n">
        <v>1.25</v>
      </c>
      <c r="L31" s="95" t="n">
        <v>1.35</v>
      </c>
      <c r="M31" s="95" t="n">
        <f aca="false">IF(K31-1.35&lt;1,IF(K31-1.35&gt;0,K31-1.35,0),1)</f>
        <v>0</v>
      </c>
      <c r="N31" s="95" t="n">
        <f aca="false">IF(K31-(1.35+M31)&lt;0,0,K31-(1.35+M31))</f>
        <v>0</v>
      </c>
      <c r="O31" s="0"/>
    </row>
    <row r="32" customFormat="false" ht="15.8" hidden="false" customHeight="false" outlineLevel="0" collapsed="false">
      <c r="A32" s="84" t="s">
        <v>161</v>
      </c>
      <c r="B32" s="84"/>
      <c r="C32" s="84"/>
      <c r="D32" s="84"/>
      <c r="E32" s="77" t="n">
        <f aca="false">SUMIF(H$7:H$11,"&gt;=4,5",S$7:S$11)</f>
        <v>0</v>
      </c>
      <c r="F32" s="63"/>
      <c r="H32" s="76" t="n">
        <v>5</v>
      </c>
      <c r="I32" s="76" t="s">
        <v>131</v>
      </c>
      <c r="J32" s="76" t="n">
        <v>200</v>
      </c>
      <c r="K32" s="77" t="n">
        <v>1.41</v>
      </c>
      <c r="L32" s="95" t="n">
        <v>1.35</v>
      </c>
      <c r="M32" s="95" t="n">
        <f aca="false">IF(K32-1.35&lt;1,IF(K32-1.35&gt;0,K32-1.35,0),1)</f>
        <v>0.0599999999999998</v>
      </c>
      <c r="N32" s="95" t="n">
        <f aca="false">IF(K32-(1.35+M32)&lt;0,0,K32-(1.35+M32))</f>
        <v>0</v>
      </c>
      <c r="O32" s="0"/>
      <c r="P32" s="63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</row>
    <row r="33" customFormat="false" ht="15.8" hidden="false" customHeight="false" outlineLevel="0" collapsed="false">
      <c r="A33" s="63"/>
      <c r="B33" s="63"/>
      <c r="C33" s="63"/>
      <c r="D33" s="63"/>
      <c r="E33" s="63" t="n">
        <f aca="false">SUM(E30:E32)</f>
        <v>69.8</v>
      </c>
      <c r="F33" s="89"/>
      <c r="I33" s="61"/>
      <c r="K33" s="62"/>
      <c r="O33" s="0"/>
      <c r="P33" s="63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</row>
    <row r="34" customFormat="false" ht="15.8" hidden="false" customHeight="false" outlineLevel="0" collapsed="false">
      <c r="A34" s="69" t="s">
        <v>162</v>
      </c>
      <c r="B34" s="69"/>
      <c r="C34" s="69"/>
      <c r="D34" s="69"/>
      <c r="E34" s="89"/>
      <c r="H34" s="96" t="s">
        <v>163</v>
      </c>
      <c r="I34" s="61"/>
      <c r="K34" s="62"/>
      <c r="O34" s="0"/>
      <c r="P34" s="63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</row>
    <row r="35" customFormat="false" ht="15.8" hidden="false" customHeight="false" outlineLevel="0" collapsed="false">
      <c r="A35" s="97" t="s">
        <v>164</v>
      </c>
      <c r="B35" s="97"/>
      <c r="C35" s="97"/>
      <c r="D35" s="77" t="n">
        <f aca="false">N13*0.15</f>
        <v>37.17</v>
      </c>
      <c r="H35" s="62" t="s">
        <v>165</v>
      </c>
      <c r="I35" s="61" t="n">
        <v>5</v>
      </c>
      <c r="J35" s="61" t="s">
        <v>166</v>
      </c>
      <c r="K35" s="62"/>
      <c r="O35" s="0"/>
      <c r="P35" s="63"/>
    </row>
    <row r="36" customFormat="false" ht="15.8" hidden="false" customHeight="false" outlineLevel="0" collapsed="false">
      <c r="A36" s="97" t="s">
        <v>167</v>
      </c>
      <c r="B36" s="97"/>
      <c r="C36" s="97"/>
      <c r="D36" s="77" t="n">
        <f aca="false">N13*0.05</f>
        <v>12.39</v>
      </c>
      <c r="H36" s="62" t="s">
        <v>168</v>
      </c>
      <c r="I36" s="98" t="n">
        <f aca="false">SUM(M28:M32)</f>
        <v>1.45</v>
      </c>
      <c r="J36" s="61" t="s">
        <v>169</v>
      </c>
      <c r="K36" s="62"/>
      <c r="O36" s="0"/>
      <c r="P36" s="63"/>
    </row>
    <row r="37" customFormat="false" ht="15.8" hidden="false" customHeight="false" outlineLevel="0" collapsed="false">
      <c r="A37" s="63"/>
      <c r="B37" s="63"/>
      <c r="C37" s="63"/>
      <c r="D37" s="63"/>
      <c r="E37" s="63"/>
      <c r="F37" s="63"/>
      <c r="G37" s="63"/>
      <c r="H37" s="62" t="s">
        <v>170</v>
      </c>
      <c r="I37" s="61" t="n">
        <v>5</v>
      </c>
      <c r="J37" s="61" t="s">
        <v>171</v>
      </c>
      <c r="K37" s="62"/>
      <c r="O37" s="0"/>
      <c r="P37" s="63"/>
    </row>
    <row r="38" customFormat="false" ht="15.8" hidden="false" customHeight="false" outlineLevel="0" collapsed="false">
      <c r="A38" s="91" t="s">
        <v>172</v>
      </c>
      <c r="B38" s="91"/>
      <c r="C38" s="91"/>
      <c r="D38" s="63"/>
      <c r="E38" s="63"/>
      <c r="F38" s="63"/>
      <c r="G38" s="63"/>
      <c r="H38" s="63"/>
      <c r="I38" s="0"/>
      <c r="J38" s="0"/>
      <c r="K38" s="0"/>
      <c r="L38" s="0"/>
      <c r="M38" s="0"/>
      <c r="N38" s="0"/>
      <c r="O38" s="0"/>
      <c r="P38" s="63"/>
    </row>
    <row r="39" customFormat="false" ht="19.4" hidden="false" customHeight="false" outlineLevel="0" collapsed="false">
      <c r="A39" s="99" t="s">
        <v>173</v>
      </c>
      <c r="B39" s="100" t="n">
        <v>218</v>
      </c>
      <c r="C39" s="101" t="n">
        <f aca="false">B39/1000</f>
        <v>0.218</v>
      </c>
      <c r="D39" s="63"/>
      <c r="E39" s="63"/>
      <c r="F39" s="63"/>
      <c r="G39" s="63"/>
      <c r="H39" s="63"/>
      <c r="I39" s="0"/>
      <c r="J39" s="0"/>
      <c r="K39" s="0"/>
      <c r="L39" s="0"/>
      <c r="M39" s="0"/>
      <c r="N39" s="0"/>
      <c r="O39" s="0"/>
      <c r="P39" s="63"/>
    </row>
    <row r="40" customFormat="false" ht="15.8" hidden="false" customHeight="false" outlineLevel="0" collapsed="false">
      <c r="A40" s="5" t="s">
        <v>174</v>
      </c>
      <c r="B40" s="102" t="n">
        <f aca="false">3.14*B39*B39/4</f>
        <v>37306.34</v>
      </c>
      <c r="C40" s="102" t="n">
        <f aca="false">3.14*C39*C39/4</f>
        <v>0.0373</v>
      </c>
      <c r="D40" s="63"/>
      <c r="E40" s="63"/>
      <c r="F40" s="63"/>
      <c r="G40" s="63"/>
      <c r="H40" s="63"/>
      <c r="P40" s="63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</row>
    <row r="41" customFormat="false" ht="15.8" hidden="false" customHeight="false" outlineLevel="0" collapsed="false">
      <c r="A41" s="5"/>
      <c r="D41" s="63"/>
      <c r="E41" s="63"/>
      <c r="F41" s="63"/>
      <c r="G41" s="63"/>
      <c r="H41" s="63"/>
      <c r="P41" s="63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</row>
    <row r="42" customFormat="false" ht="15.8" hidden="false" customHeight="false" outlineLevel="0" collapsed="false">
      <c r="I42" s="63"/>
      <c r="L42" s="61"/>
      <c r="M42" s="61"/>
      <c r="N42" s="61"/>
      <c r="O42" s="63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</row>
    <row r="43" customFormat="false" ht="15.8" hidden="false" customHeight="false" outlineLevel="0" collapsed="false">
      <c r="I43" s="63"/>
      <c r="J43" s="63"/>
      <c r="K43" s="63"/>
      <c r="L43" s="63"/>
      <c r="M43" s="63"/>
      <c r="N43" s="63"/>
      <c r="O43" s="63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</row>
    <row r="44" customFormat="false" ht="15.8" hidden="false" customHeight="false" outlineLevel="0" collapsed="false">
      <c r="I44" s="63"/>
      <c r="J44" s="91"/>
      <c r="K44" s="91"/>
      <c r="L44" s="91"/>
      <c r="M44" s="91"/>
      <c r="N44" s="91"/>
      <c r="O44" s="63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</row>
    <row r="45" customFormat="false" ht="15.8" hidden="false" customHeight="false" outlineLevel="0" collapsed="false">
      <c r="I45" s="103"/>
      <c r="J45" s="91"/>
      <c r="K45" s="91"/>
      <c r="L45" s="74"/>
      <c r="M45" s="74"/>
      <c r="N45" s="74"/>
      <c r="O45" s="63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</row>
    <row r="46" customFormat="false" ht="15.8" hidden="false" customHeight="false" outlineLevel="0" collapsed="false">
      <c r="I46" s="5"/>
      <c r="J46" s="88"/>
      <c r="K46" s="88"/>
      <c r="L46" s="61"/>
      <c r="M46" s="61"/>
      <c r="N46" s="61"/>
      <c r="O46" s="63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</row>
    <row r="47" customFormat="false" ht="15.8" hidden="false" customHeight="false" outlineLevel="0" collapsed="false">
      <c r="I47" s="5"/>
      <c r="J47" s="5"/>
      <c r="K47" s="5"/>
      <c r="L47" s="61"/>
      <c r="M47" s="61"/>
      <c r="N47" s="61"/>
      <c r="O47" s="63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</row>
    <row r="48" customFormat="false" ht="15.8" hidden="false" customHeight="false" outlineLevel="0" collapsed="false">
      <c r="I48" s="5"/>
      <c r="J48" s="88"/>
      <c r="K48" s="88"/>
      <c r="L48" s="61"/>
      <c r="M48" s="61"/>
      <c r="N48" s="61"/>
      <c r="O48" s="63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</row>
    <row r="49" customFormat="false" ht="15.8" hidden="false" customHeight="false" outlineLevel="0" collapsed="false">
      <c r="I49" s="5"/>
      <c r="J49" s="5"/>
      <c r="K49" s="5"/>
      <c r="L49" s="61"/>
      <c r="M49" s="61"/>
      <c r="N49" s="61"/>
      <c r="O49" s="63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</row>
    <row r="50" customFormat="false" ht="15.8" hidden="false" customHeight="false" outlineLevel="0" collapsed="false">
      <c r="I50" s="5"/>
      <c r="J50" s="88"/>
      <c r="K50" s="88"/>
      <c r="L50" s="61"/>
      <c r="M50" s="61"/>
      <c r="N50" s="61"/>
      <c r="O50" s="63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</row>
    <row r="51" customFormat="false" ht="15.8" hidden="false" customHeight="false" outlineLevel="0" collapsed="false">
      <c r="I51" s="5"/>
      <c r="J51" s="5"/>
      <c r="K51" s="5"/>
      <c r="L51" s="61"/>
      <c r="M51" s="61"/>
      <c r="N51" s="61"/>
      <c r="O51" s="63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</row>
    <row r="52" customFormat="false" ht="15.8" hidden="false" customHeight="false" outlineLevel="0" collapsed="false">
      <c r="I52" s="5"/>
      <c r="J52" s="88"/>
      <c r="K52" s="88"/>
      <c r="L52" s="61"/>
      <c r="M52" s="61"/>
      <c r="N52" s="61"/>
      <c r="O52" s="63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</row>
    <row r="53" customFormat="false" ht="15.8" hidden="false" customHeight="false" outlineLevel="0" collapsed="false">
      <c r="I53" s="5"/>
      <c r="J53" s="5"/>
      <c r="K53" s="5"/>
      <c r="L53" s="61"/>
      <c r="M53" s="61"/>
      <c r="N53" s="61"/>
      <c r="O53" s="63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</row>
    <row r="54" customFormat="false" ht="15.8" hidden="false" customHeight="false" outlineLevel="0" collapsed="false">
      <c r="I54" s="5"/>
      <c r="J54" s="88"/>
      <c r="K54" s="88"/>
      <c r="L54" s="61"/>
      <c r="M54" s="61"/>
      <c r="N54" s="61"/>
      <c r="O54" s="63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</row>
    <row r="55" customFormat="false" ht="15.8" hidden="false" customHeight="false" outlineLevel="0" collapsed="false">
      <c r="I55" s="5"/>
      <c r="J55" s="5"/>
      <c r="K55" s="5"/>
      <c r="L55" s="61"/>
      <c r="M55" s="61"/>
      <c r="N55" s="61"/>
      <c r="O55" s="63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</row>
    <row r="56" customFormat="false" ht="15.8" hidden="false" customHeight="false" outlineLevel="0" collapsed="false">
      <c r="I56" s="61"/>
      <c r="J56" s="5"/>
      <c r="K56" s="5"/>
      <c r="L56" s="61"/>
      <c r="M56" s="61"/>
      <c r="N56" s="61"/>
      <c r="O56" s="63"/>
    </row>
    <row r="57" customFormat="false" ht="15.8" hidden="false" customHeight="false" outlineLevel="0" collapsed="false">
      <c r="I57" s="61"/>
      <c r="J57" s="5"/>
      <c r="K57" s="5"/>
      <c r="L57" s="61"/>
      <c r="M57" s="61"/>
      <c r="N57" s="61"/>
      <c r="O57" s="63"/>
    </row>
  </sheetData>
  <mergeCells count="43">
    <mergeCell ref="A1:S1"/>
    <mergeCell ref="O3:O5"/>
    <mergeCell ref="P3:Q3"/>
    <mergeCell ref="R3:R5"/>
    <mergeCell ref="S3:S5"/>
    <mergeCell ref="A4:A6"/>
    <mergeCell ref="B4:B6"/>
    <mergeCell ref="C4:D5"/>
    <mergeCell ref="E4:G4"/>
    <mergeCell ref="H4:H5"/>
    <mergeCell ref="I4:I5"/>
    <mergeCell ref="J4:J5"/>
    <mergeCell ref="K4:K5"/>
    <mergeCell ref="L4:L5"/>
    <mergeCell ref="M4:M5"/>
    <mergeCell ref="N4:N5"/>
    <mergeCell ref="P4:P5"/>
    <mergeCell ref="Q4:Q5"/>
    <mergeCell ref="A13:H13"/>
    <mergeCell ref="J14:L14"/>
    <mergeCell ref="A15:D15"/>
    <mergeCell ref="H15:J15"/>
    <mergeCell ref="L15:N15"/>
    <mergeCell ref="A16:D16"/>
    <mergeCell ref="A17:D17"/>
    <mergeCell ref="A18:D18"/>
    <mergeCell ref="A19:D19"/>
    <mergeCell ref="A22:D22"/>
    <mergeCell ref="A23:D23"/>
    <mergeCell ref="A24:D24"/>
    <mergeCell ref="A25:D25"/>
    <mergeCell ref="H25:N25"/>
    <mergeCell ref="A26:D26"/>
    <mergeCell ref="H26:H27"/>
    <mergeCell ref="I26:K26"/>
    <mergeCell ref="L26:N26"/>
    <mergeCell ref="A29:D29"/>
    <mergeCell ref="A30:D30"/>
    <mergeCell ref="A31:D31"/>
    <mergeCell ref="A32:D32"/>
    <mergeCell ref="A34:D34"/>
    <mergeCell ref="A35:C35"/>
    <mergeCell ref="A36:C36"/>
  </mergeCells>
  <printOptions headings="false" gridLines="false" gridLinesSet="true" horizontalCentered="true" verticalCentered="false"/>
  <pageMargins left="0.39375" right="0.39375" top="0.39375" bottom="0.39375" header="0.511805555555555" footer="0.511805555555555"/>
  <pageSetup paperSize="9" scale="45" firstPageNumber="1" fitToWidth="1" fitToHeight="1" pageOrder="overThenDown" orientation="landscap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22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C13" activeCellId="0" sqref="C13"/>
    </sheetView>
  </sheetViews>
  <sheetFormatPr defaultColWidth="9.75" defaultRowHeight="15.8" zeroHeight="false" outlineLevelRow="0" outlineLevelCol="0"/>
  <cols>
    <col collapsed="false" customWidth="true" hidden="false" outlineLevel="0" max="1" min="1" style="63" width="11.45"/>
    <col collapsed="false" customWidth="true" hidden="false" outlineLevel="0" max="2" min="2" style="63" width="33.75"/>
    <col collapsed="false" customWidth="true" hidden="false" outlineLevel="0" max="3" min="3" style="63" width="16.33"/>
    <col collapsed="false" customWidth="true" hidden="false" outlineLevel="0" max="7" min="4" style="63" width="11.45"/>
    <col collapsed="false" customWidth="true" hidden="false" outlineLevel="0" max="8" min="8" style="63" width="15.95"/>
    <col collapsed="false" customWidth="false" hidden="false" outlineLevel="0" max="64" min="9" style="63" width="9.72"/>
    <col collapsed="false" customWidth="true" hidden="false" outlineLevel="0" max="1024" min="1024" style="0" width="11.52"/>
  </cols>
  <sheetData>
    <row r="1" customFormat="false" ht="15.8" hidden="false" customHeight="false" outlineLevel="0" collapsed="false">
      <c r="A1" s="104" t="s">
        <v>175</v>
      </c>
      <c r="B1" s="105" t="s">
        <v>1</v>
      </c>
      <c r="C1" s="106"/>
      <c r="D1" s="107"/>
      <c r="E1" s="108"/>
      <c r="F1" s="106"/>
      <c r="G1" s="106"/>
    </row>
    <row r="2" customFormat="false" ht="15.8" hidden="false" customHeight="false" outlineLevel="0" collapsed="false">
      <c r="A2" s="109" t="s">
        <v>2</v>
      </c>
      <c r="B2" s="105" t="str">
        <f aca="false">Planilha_Orçamentária!B2</f>
        <v>REDES COLETORAS DE ESGOTO</v>
      </c>
      <c r="C2" s="110"/>
      <c r="D2" s="110"/>
      <c r="E2" s="110"/>
      <c r="F2" s="110"/>
      <c r="G2" s="110"/>
    </row>
    <row r="3" customFormat="false" ht="15.8" hidden="false" customHeight="false" outlineLevel="0" collapsed="false">
      <c r="A3" s="111" t="s">
        <v>4</v>
      </c>
      <c r="B3" s="112" t="str">
        <f aca="false">Planilha_Orçamentária!B3</f>
        <v>RUAS JOSÉ BONINI E OLIDAIR AMBRÓSIO</v>
      </c>
      <c r="C3" s="113"/>
      <c r="D3" s="113"/>
      <c r="E3" s="113"/>
      <c r="F3" s="113"/>
      <c r="G3" s="113"/>
    </row>
    <row r="4" customFormat="false" ht="17.9" hidden="false" customHeight="false" outlineLevel="0" collapsed="false">
      <c r="A4" s="114" t="str">
        <f aca="false">Planilha_Orçamentária!B4</f>
        <v>SINAPI  (dezembro / 2025) - com desoneração</v>
      </c>
      <c r="B4" s="114"/>
      <c r="C4" s="114"/>
      <c r="D4" s="114"/>
      <c r="E4" s="114"/>
      <c r="F4" s="114"/>
      <c r="G4" s="114"/>
    </row>
    <row r="5" customFormat="false" ht="17" hidden="false" customHeight="false" outlineLevel="0" collapsed="false">
      <c r="A5" s="115" t="s">
        <v>176</v>
      </c>
      <c r="B5" s="115"/>
      <c r="C5" s="115"/>
      <c r="D5" s="115"/>
      <c r="E5" s="115"/>
      <c r="F5" s="115"/>
      <c r="G5" s="115"/>
    </row>
    <row r="6" customFormat="false" ht="15.8" hidden="false" customHeight="false" outlineLevel="0" collapsed="false">
      <c r="A6" s="116" t="s">
        <v>12</v>
      </c>
      <c r="B6" s="117" t="s">
        <v>177</v>
      </c>
      <c r="C6" s="117" t="s">
        <v>178</v>
      </c>
      <c r="D6" s="118" t="s">
        <v>179</v>
      </c>
      <c r="E6" s="118"/>
      <c r="F6" s="118" t="s">
        <v>180</v>
      </c>
      <c r="G6" s="118"/>
    </row>
    <row r="7" customFormat="false" ht="15.8" hidden="false" customHeight="false" outlineLevel="0" collapsed="false">
      <c r="A7" s="116"/>
      <c r="B7" s="116"/>
      <c r="C7" s="117" t="s">
        <v>146</v>
      </c>
      <c r="D7" s="119" t="s">
        <v>181</v>
      </c>
      <c r="E7" s="119" t="s">
        <v>146</v>
      </c>
      <c r="F7" s="119"/>
      <c r="G7" s="119"/>
    </row>
    <row r="8" customFormat="false" ht="15.8" hidden="false" customHeight="false" outlineLevel="0" collapsed="false">
      <c r="A8" s="120" t="s">
        <v>21</v>
      </c>
      <c r="B8" s="121" t="str">
        <f aca="false">Planilha_Orçamentária!B8</f>
        <v>SERVIÇOS PRELIMINARES ESGOTO</v>
      </c>
      <c r="C8" s="122" t="n">
        <f aca="false">Planilha_Orçamentária!I8</f>
        <v>33059.93</v>
      </c>
      <c r="D8" s="123" t="n">
        <v>55</v>
      </c>
      <c r="E8" s="123" t="n">
        <f aca="false">+$C8*D8/100</f>
        <v>18182.96</v>
      </c>
      <c r="F8" s="123" t="n">
        <v>45</v>
      </c>
      <c r="G8" s="123" t="n">
        <f aca="false">+$C8*F8/100</f>
        <v>14876.97</v>
      </c>
      <c r="K8" s="124"/>
      <c r="L8" s="124"/>
    </row>
    <row r="9" customFormat="false" ht="16.4" hidden="false" customHeight="false" outlineLevel="0" collapsed="false">
      <c r="A9" s="120" t="s">
        <v>33</v>
      </c>
      <c r="B9" s="125" t="str">
        <f aca="false">Planilha_Orçamentária!B12</f>
        <v>MOVIMENTO DE TERRA</v>
      </c>
      <c r="C9" s="126" t="n">
        <f aca="false">Planilha_Orçamentária!I12</f>
        <v>24283.78</v>
      </c>
      <c r="D9" s="123" t="n">
        <v>50</v>
      </c>
      <c r="E9" s="123" t="n">
        <f aca="false">+$C9*D9/100-0.01</f>
        <v>12141.88</v>
      </c>
      <c r="F9" s="123" t="n">
        <v>50</v>
      </c>
      <c r="G9" s="123" t="n">
        <f aca="false">+$C9*F9/100</f>
        <v>12141.89</v>
      </c>
      <c r="K9" s="124"/>
    </row>
    <row r="10" customFormat="false" ht="16.4" hidden="false" customHeight="false" outlineLevel="0" collapsed="false">
      <c r="A10" s="120" t="s">
        <v>60</v>
      </c>
      <c r="B10" s="125" t="str">
        <f aca="false">Planilha_Orçamentária!B21</f>
        <v>TUBULAÇÕES E ESTRUTURAS</v>
      </c>
      <c r="C10" s="126" t="n">
        <f aca="false">Planilha_Orçamentária!I21</f>
        <v>63696.71</v>
      </c>
      <c r="D10" s="123" t="n">
        <v>50</v>
      </c>
      <c r="E10" s="123" t="n">
        <f aca="false">+$C10*D10/100</f>
        <v>31848.36</v>
      </c>
      <c r="F10" s="123" t="n">
        <v>50</v>
      </c>
      <c r="G10" s="123" t="n">
        <f aca="false">+$C10*F10/100-0.01</f>
        <v>31848.35</v>
      </c>
      <c r="K10" s="124"/>
    </row>
    <row r="11" customFormat="false" ht="16.4" hidden="false" customHeight="false" outlineLevel="0" collapsed="false">
      <c r="A11" s="120" t="s">
        <v>74</v>
      </c>
      <c r="B11" s="125" t="str">
        <f aca="false">Planilha_Orçamentária!B26</f>
        <v>RECOMPOSIÇÃO ASFÁLTICA</v>
      </c>
      <c r="C11" s="126" t="n">
        <f aca="false">Planilha_Orçamentária!I26</f>
        <v>55225.79</v>
      </c>
      <c r="D11" s="123" t="n">
        <v>50</v>
      </c>
      <c r="E11" s="123" t="n">
        <f aca="false">+$C11*D11/100</f>
        <v>27612.9</v>
      </c>
      <c r="F11" s="123" t="n">
        <v>50</v>
      </c>
      <c r="G11" s="123" t="n">
        <f aca="false">+$C11*F11/100-0.01</f>
        <v>27612.89</v>
      </c>
    </row>
    <row r="12" customFormat="false" ht="15.8" hidden="false" customHeight="false" outlineLevel="0" collapsed="false">
      <c r="A12" s="119"/>
      <c r="B12" s="127" t="s">
        <v>182</v>
      </c>
      <c r="C12" s="128"/>
      <c r="D12" s="129" t="n">
        <f aca="false">+E12/$C$13*100</f>
        <v>50.94</v>
      </c>
      <c r="E12" s="129" t="n">
        <f aca="false">SUM(E8:E11)</f>
        <v>89786.1</v>
      </c>
      <c r="F12" s="129" t="n">
        <f aca="false">+G12/$C$13*100</f>
        <v>49.06</v>
      </c>
      <c r="G12" s="129" t="n">
        <f aca="false">SUM(G8:G11)</f>
        <v>86480.1</v>
      </c>
    </row>
    <row r="13" customFormat="false" ht="15.8" hidden="false" customHeight="false" outlineLevel="0" collapsed="false">
      <c r="A13" s="119"/>
      <c r="B13" s="127" t="s">
        <v>183</v>
      </c>
      <c r="C13" s="130" t="n">
        <f aca="false">SUM(C8:C11)</f>
        <v>176266.21</v>
      </c>
      <c r="D13" s="129" t="n">
        <f aca="false">+D12</f>
        <v>50.94</v>
      </c>
      <c r="E13" s="129" t="n">
        <f aca="false">+E12</f>
        <v>89786.1</v>
      </c>
      <c r="F13" s="129" t="n">
        <f aca="false">D13+F12</f>
        <v>100</v>
      </c>
      <c r="G13" s="129" t="n">
        <f aca="false">E13+G12</f>
        <v>176266.2</v>
      </c>
    </row>
    <row r="14" customFormat="false" ht="15.8" hidden="false" customHeight="false" outlineLevel="0" collapsed="false">
      <c r="A14" s="131"/>
      <c r="B14" s="132"/>
      <c r="C14" s="132"/>
      <c r="D14" s="132"/>
      <c r="E14" s="132"/>
      <c r="F14" s="132"/>
      <c r="G14" s="132"/>
    </row>
    <row r="15" customFormat="false" ht="15.8" hidden="false" customHeight="false" outlineLevel="0" collapsed="false">
      <c r="A15" s="131"/>
      <c r="B15" s="132"/>
      <c r="C15" s="132"/>
      <c r="D15" s="132"/>
      <c r="E15" s="132"/>
      <c r="F15" s="132"/>
      <c r="G15" s="132"/>
    </row>
    <row r="16" customFormat="false" ht="15.8" hidden="false" customHeight="false" outlineLevel="0" collapsed="false">
      <c r="A16" s="131"/>
      <c r="B16" s="132"/>
      <c r="C16" s="132"/>
      <c r="D16" s="132"/>
      <c r="E16" s="132"/>
      <c r="F16" s="132"/>
      <c r="G16" s="132"/>
    </row>
    <row r="17" customFormat="false" ht="15.8" hidden="false" customHeight="false" outlineLevel="0" collapsed="false">
      <c r="A17" s="131"/>
      <c r="B17" s="132"/>
      <c r="C17" s="132"/>
      <c r="D17" s="132"/>
      <c r="E17" s="132"/>
      <c r="F17" s="132"/>
      <c r="G17" s="132"/>
    </row>
    <row r="18" customFormat="false" ht="15.8" hidden="false" customHeight="false" outlineLevel="0" collapsed="false">
      <c r="A18" s="131"/>
      <c r="B18" s="132"/>
      <c r="C18" s="132"/>
      <c r="D18" s="132"/>
      <c r="E18" s="132"/>
      <c r="F18" s="132"/>
      <c r="G18" s="132"/>
    </row>
    <row r="19" customFormat="false" ht="15.8" hidden="false" customHeight="false" outlineLevel="0" collapsed="false">
      <c r="A19" s="131"/>
      <c r="B19" s="132"/>
      <c r="C19" s="132"/>
      <c r="D19" s="132"/>
      <c r="E19" s="132"/>
      <c r="F19" s="132"/>
      <c r="G19" s="132"/>
    </row>
    <row r="20" customFormat="false" ht="15.8" hidden="false" customHeight="false" outlineLevel="0" collapsed="false">
      <c r="A20" s="131"/>
      <c r="B20" s="132"/>
      <c r="C20" s="132"/>
      <c r="D20" s="132"/>
      <c r="E20" s="132"/>
      <c r="F20" s="133" t="s">
        <v>184</v>
      </c>
    </row>
    <row r="21" customFormat="false" ht="15.8" hidden="false" customHeight="false" outlineLevel="0" collapsed="false">
      <c r="A21" s="131"/>
      <c r="B21" s="132"/>
      <c r="C21" s="132"/>
      <c r="D21" s="132"/>
      <c r="E21" s="132"/>
      <c r="F21" s="133" t="s">
        <v>185</v>
      </c>
    </row>
    <row r="22" customFormat="false" ht="15.8" hidden="false" customHeight="false" outlineLevel="0" collapsed="false">
      <c r="A22" s="131"/>
      <c r="B22" s="132"/>
      <c r="C22" s="132"/>
      <c r="D22" s="132"/>
      <c r="E22" s="132"/>
      <c r="F22" s="132"/>
      <c r="G22" s="132"/>
    </row>
  </sheetData>
  <mergeCells count="6">
    <mergeCell ref="A4:G4"/>
    <mergeCell ref="A5:G5"/>
    <mergeCell ref="A6:A7"/>
    <mergeCell ref="B6:B7"/>
    <mergeCell ref="D6:E6"/>
    <mergeCell ref="F6:G6"/>
  </mergeCells>
  <printOptions headings="false" gridLines="false" gridLinesSet="true" horizontalCentered="true" verticalCentered="false"/>
  <pageMargins left="0" right="0" top="0" bottom="0" header="0.511805555555555" footer="0.511805555555555"/>
  <pageSetup paperSize="9" scale="102" firstPageNumber="1" fitToWidth="1" fitToHeight="1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680</TotalTime>
  <Application>LibreOffice/7.0.1.2$Windows_x86 LibreOffice_project/7cbcfc562f6eb6708b5ff7d7397325de9e764452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2021-03-12T10:23:25Z</dcterms:created>
  <dc:creator>Carlos Roberto Sarni</dc:creator>
  <dc:description/>
  <dc:language>pt-BR</dc:language>
  <cp:lastModifiedBy/>
  <cp:lastPrinted>2026-01-27T09:12:29Z</cp:lastPrinted>
  <dcterms:modified xsi:type="dcterms:W3CDTF">2026-01-28T16:25:18Z</dcterms:modified>
  <cp:revision>264</cp:revision>
  <dc:subject/>
  <dc:title/>
</cp:coreProperties>
</file>